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AC1F1A8-1756-4E9A-828D-F221CD68D5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etelverdeling" sheetId="1" r:id="rId1"/>
    <sheet name="Restzetelverdel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" l="1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B3" i="2"/>
  <c r="B2" i="2"/>
  <c r="C45" i="1"/>
  <c r="H6" i="1" s="1"/>
  <c r="F6" i="1" s="1"/>
  <c r="E7" i="1"/>
  <c r="H9" i="1" l="1"/>
  <c r="H10" i="1" s="1"/>
  <c r="J5" i="2" l="1"/>
  <c r="F10" i="1"/>
  <c r="D17" i="1" s="1"/>
  <c r="B15" i="1"/>
  <c r="H8" i="1"/>
  <c r="F8" i="1" s="1"/>
  <c r="D35" i="2" l="1"/>
  <c r="D33" i="2"/>
  <c r="D31" i="2"/>
  <c r="D29" i="2"/>
  <c r="D25" i="2"/>
  <c r="D24" i="2"/>
  <c r="D23" i="2"/>
  <c r="D22" i="2"/>
  <c r="D21" i="2"/>
  <c r="D20" i="2"/>
  <c r="D34" i="2"/>
  <c r="D32" i="2"/>
  <c r="D30" i="2"/>
  <c r="D28" i="2"/>
  <c r="D26" i="2"/>
  <c r="D19" i="2"/>
  <c r="D18" i="2"/>
  <c r="D17" i="2"/>
  <c r="D16" i="2"/>
  <c r="D15" i="2"/>
  <c r="D14" i="2"/>
  <c r="D27" i="2"/>
  <c r="D12" i="2"/>
  <c r="D13" i="2"/>
  <c r="D11" i="2"/>
  <c r="D10" i="2"/>
  <c r="E42" i="1"/>
  <c r="E40" i="1"/>
  <c r="E38" i="1"/>
  <c r="E36" i="1"/>
  <c r="E34" i="1"/>
  <c r="G41" i="1"/>
  <c r="E39" i="1"/>
  <c r="G36" i="1"/>
  <c r="E41" i="1"/>
  <c r="G38" i="1"/>
  <c r="G35" i="1"/>
  <c r="G40" i="1"/>
  <c r="G37" i="1"/>
  <c r="E35" i="1"/>
  <c r="E37" i="1"/>
  <c r="G34" i="1"/>
  <c r="G42" i="1"/>
  <c r="D41" i="1"/>
  <c r="D39" i="1"/>
  <c r="D37" i="1"/>
  <c r="D35" i="1"/>
  <c r="D33" i="1"/>
  <c r="D31" i="1"/>
  <c r="D29" i="1"/>
  <c r="D27" i="1"/>
  <c r="D25" i="1"/>
  <c r="D23" i="1"/>
  <c r="D21" i="1"/>
  <c r="D19" i="1"/>
  <c r="D20" i="1"/>
  <c r="F42" i="1"/>
  <c r="F40" i="1"/>
  <c r="F38" i="1"/>
  <c r="F36" i="1"/>
  <c r="F34" i="1"/>
  <c r="F41" i="1"/>
  <c r="F37" i="1"/>
  <c r="G39" i="1"/>
  <c r="D42" i="1"/>
  <c r="D40" i="1"/>
  <c r="D38" i="1"/>
  <c r="D36" i="1"/>
  <c r="D34" i="1"/>
  <c r="D32" i="1"/>
  <c r="D30" i="1"/>
  <c r="D28" i="1"/>
  <c r="D26" i="1"/>
  <c r="D24" i="1"/>
  <c r="D22" i="1"/>
  <c r="D18" i="1"/>
  <c r="F39" i="1"/>
  <c r="F35" i="1"/>
  <c r="D45" i="1" l="1"/>
  <c r="J6" i="2" s="1"/>
  <c r="H13" i="2"/>
  <c r="H15" i="2"/>
  <c r="H19" i="2"/>
  <c r="H32" i="2"/>
  <c r="H22" i="2"/>
  <c r="H29" i="2"/>
  <c r="H12" i="2"/>
  <c r="H16" i="2"/>
  <c r="H26" i="2"/>
  <c r="H34" i="2"/>
  <c r="H23" i="2"/>
  <c r="H31" i="2"/>
  <c r="D37" i="2"/>
  <c r="H10" i="2"/>
  <c r="H27" i="2"/>
  <c r="H17" i="2"/>
  <c r="H28" i="2"/>
  <c r="H20" i="2"/>
  <c r="H24" i="2"/>
  <c r="H33" i="2"/>
  <c r="H11" i="2"/>
  <c r="H14" i="2"/>
  <c r="H18" i="2"/>
  <c r="H30" i="2"/>
  <c r="H21" i="2"/>
  <c r="H25" i="2"/>
  <c r="H35" i="2"/>
  <c r="AA29" i="2" l="1"/>
  <c r="I31" i="2"/>
  <c r="J31" i="2" s="1"/>
  <c r="Y28" i="2"/>
  <c r="AA17" i="2"/>
  <c r="Y17" i="2"/>
  <c r="I16" i="2"/>
  <c r="J16" i="2" s="1"/>
  <c r="Y34" i="2"/>
  <c r="I17" i="2"/>
  <c r="J17" i="2" s="1"/>
  <c r="AA19" i="2"/>
  <c r="AA30" i="2"/>
  <c r="AA15" i="2"/>
  <c r="I20" i="2"/>
  <c r="J20" i="2" s="1"/>
  <c r="I15" i="2"/>
  <c r="J15" i="2" s="1"/>
  <c r="Y13" i="2"/>
  <c r="Y11" i="2"/>
  <c r="I11" i="2"/>
  <c r="J11" i="2" s="1"/>
  <c r="I12" i="2"/>
  <c r="J12" i="2" s="1"/>
  <c r="Y26" i="2"/>
  <c r="AA25" i="2"/>
  <c r="AA16" i="2"/>
  <c r="I23" i="2"/>
  <c r="J23" i="2" s="1"/>
  <c r="Y15" i="2"/>
  <c r="Y14" i="2"/>
  <c r="AA24" i="2"/>
  <c r="Y35" i="2"/>
  <c r="I13" i="2"/>
  <c r="J13" i="2" s="1"/>
  <c r="X37" i="2"/>
  <c r="I27" i="2"/>
  <c r="AA31" i="2"/>
  <c r="Y21" i="2"/>
  <c r="Y12" i="2"/>
  <c r="H37" i="2"/>
  <c r="I24" i="2"/>
  <c r="J24" i="2" s="1"/>
  <c r="AA18" i="2"/>
  <c r="I21" i="2"/>
  <c r="J21" i="2" s="1"/>
  <c r="B12" i="1"/>
  <c r="Y24" i="2"/>
  <c r="Y16" i="2"/>
  <c r="AA23" i="2"/>
  <c r="I34" i="2"/>
  <c r="J34" i="2" s="1"/>
  <c r="AA21" i="2"/>
  <c r="Y27" i="2"/>
  <c r="AA12" i="2"/>
  <c r="I28" i="2"/>
  <c r="AA35" i="2"/>
  <c r="AA32" i="2"/>
  <c r="I30" i="2"/>
  <c r="J30" i="2" s="1"/>
  <c r="AA26" i="2"/>
  <c r="I10" i="2"/>
  <c r="J10" i="2" s="1"/>
  <c r="AA14" i="2"/>
  <c r="I19" i="2"/>
  <c r="J19" i="2" s="1"/>
  <c r="AA34" i="2"/>
  <c r="Y30" i="2"/>
  <c r="AA10" i="2"/>
  <c r="I22" i="2"/>
  <c r="J22" i="2" s="1"/>
  <c r="Y22" i="2"/>
  <c r="AA33" i="2"/>
  <c r="AA27" i="2"/>
  <c r="I25" i="2"/>
  <c r="Y31" i="2"/>
  <c r="I18" i="2"/>
  <c r="AA22" i="2"/>
  <c r="Y33" i="2"/>
  <c r="AA13" i="2"/>
  <c r="Y18" i="2"/>
  <c r="Z37" i="2"/>
  <c r="I35" i="2"/>
  <c r="Y19" i="2"/>
  <c r="I32" i="2"/>
  <c r="AA11" i="2"/>
  <c r="Y20" i="2"/>
  <c r="Y25" i="2"/>
  <c r="I29" i="2"/>
  <c r="I26" i="2"/>
  <c r="AA20" i="2"/>
  <c r="Y32" i="2"/>
  <c r="Y10" i="2"/>
  <c r="Y23" i="2"/>
  <c r="I14" i="2"/>
  <c r="AA28" i="2"/>
  <c r="Y29" i="2"/>
  <c r="I33" i="2"/>
  <c r="Y37" i="2" l="1"/>
  <c r="Y9" i="2"/>
  <c r="J28" i="2"/>
  <c r="J27" i="2"/>
  <c r="AA9" i="2"/>
  <c r="J25" i="2"/>
  <c r="J18" i="2"/>
  <c r="J33" i="2"/>
  <c r="I37" i="2"/>
  <c r="AA37" i="2"/>
  <c r="J14" i="2"/>
  <c r="J26" i="2"/>
  <c r="J29" i="2"/>
  <c r="J32" i="2"/>
  <c r="I9" i="2"/>
  <c r="J35" i="2"/>
  <c r="K32" i="2" l="1"/>
  <c r="K16" i="2"/>
  <c r="K28" i="2"/>
  <c r="K21" i="2"/>
  <c r="K33" i="2"/>
  <c r="K23" i="2"/>
  <c r="L32" i="2"/>
  <c r="K29" i="2"/>
  <c r="K14" i="2"/>
  <c r="K17" i="2"/>
  <c r="K25" i="2"/>
  <c r="K20" i="2"/>
  <c r="K24" i="2"/>
  <c r="J37" i="2"/>
  <c r="K18" i="2"/>
  <c r="K31" i="2"/>
  <c r="K19" i="2"/>
  <c r="K34" i="2"/>
  <c r="K12" i="2"/>
  <c r="K15" i="2"/>
  <c r="K30" i="2"/>
  <c r="K10" i="2"/>
  <c r="K26" i="2"/>
  <c r="K27" i="2"/>
  <c r="K13" i="2"/>
  <c r="K35" i="2"/>
  <c r="K22" i="2"/>
  <c r="K11" i="2"/>
  <c r="L35" i="2" l="1"/>
  <c r="L17" i="2"/>
  <c r="L33" i="2"/>
  <c r="L13" i="2"/>
  <c r="L30" i="2"/>
  <c r="L19" i="2"/>
  <c r="L24" i="2"/>
  <c r="L14" i="2"/>
  <c r="L21" i="2"/>
  <c r="K9" i="2"/>
  <c r="K37" i="2"/>
  <c r="L10" i="2"/>
  <c r="L27" i="2"/>
  <c r="L31" i="2"/>
  <c r="L20" i="2"/>
  <c r="L29" i="2"/>
  <c r="L28" i="2"/>
  <c r="L34" i="2"/>
  <c r="L11" i="2"/>
  <c r="L15" i="2"/>
  <c r="L22" i="2"/>
  <c r="L26" i="2"/>
  <c r="L12" i="2"/>
  <c r="L18" i="2"/>
  <c r="L25" i="2"/>
  <c r="L23" i="2"/>
  <c r="L16" i="2"/>
  <c r="B11" i="1"/>
  <c r="M34" i="2" l="1"/>
  <c r="M27" i="2"/>
  <c r="M18" i="2"/>
  <c r="M33" i="2"/>
  <c r="M10" i="2"/>
  <c r="M13" i="2"/>
  <c r="M32" i="2"/>
  <c r="M17" i="2"/>
  <c r="M23" i="2"/>
  <c r="M14" i="2"/>
  <c r="M19" i="2"/>
  <c r="L37" i="2"/>
  <c r="M11" i="2"/>
  <c r="M24" i="2"/>
  <c r="M26" i="2"/>
  <c r="M16" i="2"/>
  <c r="M28" i="2"/>
  <c r="M29" i="2"/>
  <c r="M35" i="2"/>
  <c r="M25" i="2"/>
  <c r="M21" i="2"/>
  <c r="M20" i="2"/>
  <c r="M31" i="2"/>
  <c r="M22" i="2"/>
  <c r="M12" i="2"/>
  <c r="M15" i="2"/>
  <c r="M30" i="2"/>
  <c r="N22" i="2" l="1"/>
  <c r="N25" i="2"/>
  <c r="N16" i="2"/>
  <c r="N17" i="2"/>
  <c r="N33" i="2"/>
  <c r="N30" i="2"/>
  <c r="N31" i="2"/>
  <c r="N35" i="2"/>
  <c r="N26" i="2"/>
  <c r="N19" i="2"/>
  <c r="N32" i="2"/>
  <c r="N18" i="2"/>
  <c r="N13" i="2"/>
  <c r="N27" i="2"/>
  <c r="N15" i="2"/>
  <c r="N20" i="2"/>
  <c r="N29" i="2"/>
  <c r="N24" i="2"/>
  <c r="N14" i="2"/>
  <c r="N12" i="2"/>
  <c r="N21" i="2"/>
  <c r="N28" i="2"/>
  <c r="N11" i="2"/>
  <c r="N23" i="2"/>
  <c r="M37" i="2"/>
  <c r="M9" i="2"/>
  <c r="N10" i="2"/>
  <c r="N34" i="2"/>
  <c r="O24" i="2" l="1"/>
  <c r="O29" i="2"/>
  <c r="O22" i="2"/>
  <c r="O15" i="2"/>
  <c r="O33" i="2"/>
  <c r="O12" i="2"/>
  <c r="O28" i="2"/>
  <c r="O19" i="2"/>
  <c r="N37" i="2"/>
  <c r="O32" i="2"/>
  <c r="O30" i="2"/>
  <c r="O10" i="2"/>
  <c r="O27" i="2"/>
  <c r="O18" i="2"/>
  <c r="O31" i="2"/>
  <c r="O21" i="2"/>
  <c r="O26" i="2"/>
  <c r="O16" i="2"/>
  <c r="O25" i="2"/>
  <c r="O17" i="2"/>
  <c r="O35" i="2"/>
  <c r="O23" i="2"/>
  <c r="O20" i="2"/>
  <c r="O11" i="2"/>
  <c r="O34" i="2"/>
  <c r="O13" i="2"/>
  <c r="O14" i="2"/>
  <c r="P17" i="2" l="1"/>
  <c r="P15" i="2"/>
  <c r="P14" i="2"/>
  <c r="P20" i="2"/>
  <c r="P25" i="2"/>
  <c r="P31" i="2"/>
  <c r="P30" i="2"/>
  <c r="P28" i="2"/>
  <c r="P22" i="2"/>
  <c r="P11" i="2"/>
  <c r="P21" i="2"/>
  <c r="P19" i="2"/>
  <c r="P13" i="2"/>
  <c r="P23" i="2"/>
  <c r="P16" i="2"/>
  <c r="P18" i="2"/>
  <c r="P32" i="2"/>
  <c r="P12" i="2"/>
  <c r="P29" i="2"/>
  <c r="O9" i="2"/>
  <c r="O37" i="2"/>
  <c r="P10" i="2"/>
  <c r="P34" i="2"/>
  <c r="P35" i="2"/>
  <c r="P26" i="2"/>
  <c r="P27" i="2"/>
  <c r="P33" i="2"/>
  <c r="P24" i="2"/>
  <c r="Q24" i="2" l="1"/>
  <c r="Q13" i="2"/>
  <c r="Q31" i="2"/>
  <c r="Q10" i="2"/>
  <c r="Q15" i="2"/>
  <c r="Q19" i="2"/>
  <c r="Q12" i="2"/>
  <c r="Q11" i="2"/>
  <c r="Q27" i="2"/>
  <c r="Q16" i="2"/>
  <c r="Q20" i="2"/>
  <c r="Q17" i="2"/>
  <c r="Q29" i="2"/>
  <c r="Q23" i="2"/>
  <c r="Q21" i="2"/>
  <c r="Q18" i="2"/>
  <c r="Q28" i="2"/>
  <c r="Q34" i="2"/>
  <c r="Q30" i="2"/>
  <c r="Q33" i="2"/>
  <c r="Q22" i="2"/>
  <c r="Q26" i="2"/>
  <c r="Q35" i="2"/>
  <c r="Q14" i="2"/>
  <c r="Q25" i="2"/>
  <c r="Q32" i="2"/>
  <c r="P37" i="2"/>
  <c r="R14" i="2" l="1"/>
  <c r="R18" i="2"/>
  <c r="R17" i="2"/>
  <c r="R11" i="2"/>
  <c r="Q37" i="2"/>
  <c r="Q9" i="2"/>
  <c r="R10" i="2"/>
  <c r="R35" i="2"/>
  <c r="R30" i="2"/>
  <c r="R21" i="2"/>
  <c r="R20" i="2"/>
  <c r="R12" i="2"/>
  <c r="R31" i="2"/>
  <c r="R32" i="2"/>
  <c r="R34" i="2"/>
  <c r="R19" i="2"/>
  <c r="R13" i="2"/>
  <c r="R33" i="2"/>
  <c r="R26" i="2"/>
  <c r="R23" i="2"/>
  <c r="R16" i="2"/>
  <c r="R25" i="2"/>
  <c r="R22" i="2"/>
  <c r="R28" i="2"/>
  <c r="R29" i="2"/>
  <c r="R27" i="2"/>
  <c r="R15" i="2"/>
  <c r="R24" i="2"/>
  <c r="S20" i="2" l="1"/>
  <c r="S34" i="2"/>
  <c r="S32" i="2"/>
  <c r="S14" i="2"/>
  <c r="S31" i="2"/>
  <c r="S33" i="2"/>
  <c r="S27" i="2"/>
  <c r="S15" i="2"/>
  <c r="S17" i="2"/>
  <c r="S10" i="2"/>
  <c r="S35" i="2"/>
  <c r="S18" i="2"/>
  <c r="S21" i="2"/>
  <c r="R37" i="2"/>
  <c r="S24" i="2"/>
  <c r="S12" i="2"/>
  <c r="S26" i="2"/>
  <c r="S30" i="2"/>
  <c r="S29" i="2"/>
  <c r="S23" i="2"/>
  <c r="S25" i="2"/>
  <c r="S16" i="2"/>
  <c r="S22" i="2"/>
  <c r="S13" i="2"/>
  <c r="S19" i="2"/>
  <c r="S11" i="2"/>
  <c r="S28" i="2"/>
  <c r="T13" i="2" l="1"/>
  <c r="T18" i="2"/>
  <c r="T14" i="2"/>
  <c r="T28" i="2"/>
  <c r="T22" i="2"/>
  <c r="T29" i="2"/>
  <c r="T24" i="2"/>
  <c r="T35" i="2"/>
  <c r="T27" i="2"/>
  <c r="T32" i="2"/>
  <c r="T23" i="2"/>
  <c r="T12" i="2"/>
  <c r="T15" i="2"/>
  <c r="T11" i="2"/>
  <c r="T16" i="2"/>
  <c r="T30" i="2"/>
  <c r="S37" i="2"/>
  <c r="S9" i="2"/>
  <c r="T10" i="2"/>
  <c r="T33" i="2"/>
  <c r="T34" i="2"/>
  <c r="T19" i="2"/>
  <c r="T25" i="2"/>
  <c r="T26" i="2"/>
  <c r="T21" i="2"/>
  <c r="T17" i="2"/>
  <c r="T31" i="2"/>
  <c r="T20" i="2"/>
  <c r="U30" i="2" l="1"/>
  <c r="U21" i="2"/>
  <c r="U19" i="2"/>
  <c r="U32" i="2"/>
  <c r="U18" i="2"/>
  <c r="U29" i="2"/>
  <c r="U33" i="2"/>
  <c r="U25" i="2"/>
  <c r="U35" i="2"/>
  <c r="U31" i="2"/>
  <c r="U23" i="2"/>
  <c r="U22" i="2"/>
  <c r="U20" i="2"/>
  <c r="U11" i="2"/>
  <c r="T37" i="2"/>
  <c r="U28" i="2"/>
  <c r="U12" i="2"/>
  <c r="U15" i="2"/>
  <c r="U24" i="2"/>
  <c r="U16" i="2"/>
  <c r="U17" i="2"/>
  <c r="U14" i="2"/>
  <c r="U27" i="2"/>
  <c r="U34" i="2"/>
  <c r="U26" i="2"/>
  <c r="U10" i="2"/>
  <c r="U13" i="2"/>
  <c r="V25" i="2" l="1"/>
  <c r="V27" i="2"/>
  <c r="V24" i="2"/>
  <c r="V23" i="2"/>
  <c r="V33" i="2"/>
  <c r="V19" i="2"/>
  <c r="V16" i="2"/>
  <c r="V22" i="2"/>
  <c r="V13" i="2"/>
  <c r="U9" i="2"/>
  <c r="U37" i="2"/>
  <c r="V10" i="2"/>
  <c r="V14" i="2"/>
  <c r="V15" i="2"/>
  <c r="V11" i="2"/>
  <c r="V31" i="2"/>
  <c r="V29" i="2"/>
  <c r="V21" i="2"/>
  <c r="V34" i="2"/>
  <c r="V28" i="2"/>
  <c r="V32" i="2"/>
  <c r="V26" i="2"/>
  <c r="V17" i="2"/>
  <c r="V12" i="2"/>
  <c r="V20" i="2"/>
  <c r="V35" i="2"/>
  <c r="V18" i="2"/>
  <c r="V30" i="2"/>
  <c r="W15" i="2" l="1"/>
  <c r="W17" i="2"/>
  <c r="W11" i="2"/>
  <c r="W22" i="2"/>
  <c r="W14" i="2"/>
  <c r="W35" i="2"/>
  <c r="W18" i="2"/>
  <c r="W16" i="2"/>
  <c r="W21" i="2"/>
  <c r="W23" i="2"/>
  <c r="W13" i="2"/>
  <c r="W29" i="2"/>
  <c r="W10" i="2"/>
  <c r="W24" i="2"/>
  <c r="W27" i="2"/>
  <c r="W31" i="2"/>
  <c r="W30" i="2"/>
  <c r="W26" i="2"/>
  <c r="W28" i="2"/>
  <c r="W12" i="2"/>
  <c r="W19" i="2"/>
  <c r="W25" i="2"/>
  <c r="W34" i="2"/>
  <c r="W33" i="2"/>
  <c r="W32" i="2"/>
  <c r="W20" i="2"/>
  <c r="V37" i="2"/>
  <c r="X33" i="2" l="1"/>
  <c r="E33" i="2"/>
  <c r="G33" i="2" s="1"/>
  <c r="F33" i="2"/>
  <c r="Z33" i="2"/>
  <c r="F29" i="2"/>
  <c r="E29" i="2"/>
  <c r="G29" i="2" s="1"/>
  <c r="Z29" i="2"/>
  <c r="X29" i="2"/>
  <c r="Z34" i="2"/>
  <c r="E34" i="2"/>
  <c r="G34" i="2" s="1"/>
  <c r="X34" i="2"/>
  <c r="F34" i="2"/>
  <c r="Z28" i="2"/>
  <c r="F28" i="2"/>
  <c r="E28" i="2"/>
  <c r="G28" i="2" s="1"/>
  <c r="X28" i="2"/>
  <c r="E27" i="2"/>
  <c r="G27" i="2" s="1"/>
  <c r="X27" i="2"/>
  <c r="Z27" i="2"/>
  <c r="F27" i="2"/>
  <c r="Z13" i="2"/>
  <c r="X13" i="2"/>
  <c r="F13" i="2"/>
  <c r="G20" i="1" s="1"/>
  <c r="E13" i="2"/>
  <c r="F18" i="2"/>
  <c r="G25" i="1" s="1"/>
  <c r="Z18" i="2"/>
  <c r="E18" i="2"/>
  <c r="X18" i="2"/>
  <c r="X11" i="2"/>
  <c r="E11" i="2"/>
  <c r="Z11" i="2"/>
  <c r="F11" i="2"/>
  <c r="G18" i="1" s="1"/>
  <c r="F31" i="2"/>
  <c r="E31" i="2"/>
  <c r="G31" i="2" s="1"/>
  <c r="Z31" i="2"/>
  <c r="X31" i="2"/>
  <c r="X16" i="2"/>
  <c r="F16" i="2"/>
  <c r="G23" i="1" s="1"/>
  <c r="Z16" i="2"/>
  <c r="E16" i="2"/>
  <c r="F20" i="2"/>
  <c r="G27" i="1" s="1"/>
  <c r="X20" i="2"/>
  <c r="E20" i="2"/>
  <c r="Z20" i="2"/>
  <c r="F25" i="2"/>
  <c r="G32" i="1" s="1"/>
  <c r="X25" i="2"/>
  <c r="E25" i="2"/>
  <c r="Z25" i="2"/>
  <c r="Z26" i="2"/>
  <c r="X26" i="2"/>
  <c r="E26" i="2"/>
  <c r="F26" i="2"/>
  <c r="G33" i="1" s="1"/>
  <c r="Z24" i="2"/>
  <c r="E24" i="2"/>
  <c r="X24" i="2"/>
  <c r="F24" i="2"/>
  <c r="G31" i="1" s="1"/>
  <c r="X23" i="2"/>
  <c r="E23" i="2"/>
  <c r="Z23" i="2"/>
  <c r="F23" i="2"/>
  <c r="G30" i="1" s="1"/>
  <c r="F35" i="2"/>
  <c r="Z35" i="2"/>
  <c r="X35" i="2"/>
  <c r="E35" i="2"/>
  <c r="G35" i="2" s="1"/>
  <c r="E17" i="2"/>
  <c r="F17" i="2"/>
  <c r="G24" i="1" s="1"/>
  <c r="Z17" i="2"/>
  <c r="X17" i="2"/>
  <c r="Z12" i="2"/>
  <c r="X12" i="2"/>
  <c r="F12" i="2"/>
  <c r="G19" i="1" s="1"/>
  <c r="E12" i="2"/>
  <c r="F22" i="2"/>
  <c r="G29" i="1" s="1"/>
  <c r="Z22" i="2"/>
  <c r="E22" i="2"/>
  <c r="X22" i="2"/>
  <c r="Z32" i="2"/>
  <c r="E32" i="2"/>
  <c r="G32" i="2" s="1"/>
  <c r="F32" i="2"/>
  <c r="X32" i="2"/>
  <c r="F19" i="2"/>
  <c r="G26" i="1" s="1"/>
  <c r="Z19" i="2"/>
  <c r="X19" i="2"/>
  <c r="E19" i="2"/>
  <c r="Z30" i="2"/>
  <c r="E30" i="2"/>
  <c r="G30" i="2" s="1"/>
  <c r="X30" i="2"/>
  <c r="F30" i="2"/>
  <c r="W37" i="2"/>
  <c r="W9" i="2"/>
  <c r="Z10" i="2"/>
  <c r="F10" i="2"/>
  <c r="G17" i="1" s="1"/>
  <c r="X10" i="2"/>
  <c r="E10" i="2"/>
  <c r="X21" i="2"/>
  <c r="E21" i="2"/>
  <c r="Z21" i="2"/>
  <c r="F21" i="2"/>
  <c r="G28" i="1" s="1"/>
  <c r="F14" i="2"/>
  <c r="G21" i="1" s="1"/>
  <c r="X14" i="2"/>
  <c r="Z14" i="2"/>
  <c r="E14" i="2"/>
  <c r="F15" i="2"/>
  <c r="G22" i="1" s="1"/>
  <c r="E15" i="2"/>
  <c r="Z15" i="2"/>
  <c r="X15" i="2"/>
  <c r="G26" i="2" l="1"/>
  <c r="E33" i="1"/>
  <c r="F33" i="1" s="1"/>
  <c r="E22" i="1"/>
  <c r="F22" i="1" s="1"/>
  <c r="G15" i="2"/>
  <c r="E26" i="1"/>
  <c r="F26" i="1" s="1"/>
  <c r="G19" i="2"/>
  <c r="E19" i="1"/>
  <c r="F19" i="1" s="1"/>
  <c r="G12" i="2"/>
  <c r="G16" i="2"/>
  <c r="E23" i="1"/>
  <c r="F23" i="1" s="1"/>
  <c r="E29" i="1"/>
  <c r="F29" i="1" s="1"/>
  <c r="G22" i="2"/>
  <c r="G25" i="2"/>
  <c r="E32" i="1"/>
  <c r="F32" i="1" s="1"/>
  <c r="E27" i="1"/>
  <c r="F27" i="1" s="1"/>
  <c r="G20" i="2"/>
  <c r="E25" i="1"/>
  <c r="F25" i="1" s="1"/>
  <c r="G18" i="2"/>
  <c r="E28" i="1"/>
  <c r="F28" i="1" s="1"/>
  <c r="G21" i="2"/>
  <c r="G13" i="2"/>
  <c r="E20" i="1"/>
  <c r="F20" i="1" s="1"/>
  <c r="G10" i="2"/>
  <c r="E17" i="1"/>
  <c r="E37" i="2"/>
  <c r="E30" i="1"/>
  <c r="F30" i="1" s="1"/>
  <c r="G23" i="2"/>
  <c r="E31" i="1"/>
  <c r="F31" i="1" s="1"/>
  <c r="G24" i="2"/>
  <c r="E18" i="1"/>
  <c r="F18" i="1" s="1"/>
  <c r="G11" i="2"/>
  <c r="G14" i="2"/>
  <c r="E21" i="1"/>
  <c r="F21" i="1" s="1"/>
  <c r="G17" i="2"/>
  <c r="E24" i="1"/>
  <c r="F24" i="1" s="1"/>
  <c r="E45" i="1" l="1"/>
  <c r="B13" i="1" s="1"/>
  <c r="F17" i="1"/>
  <c r="F45" i="1" s="1"/>
  <c r="B14" i="1" s="1"/>
  <c r="G37" i="2"/>
</calcChain>
</file>

<file path=xl/sharedStrings.xml><?xml version="1.0" encoding="utf-8"?>
<sst xmlns="http://schemas.openxmlformats.org/spreadsheetml/2006/main" count="48" uniqueCount="44">
  <si>
    <t>Controleblad - zetelverdeling bij 19 en meer zetels</t>
  </si>
  <si>
    <t>ALLEEN DE GELE VELDEN INVULLEN</t>
  </si>
  <si>
    <t>Totaal aantal lijststemmen:</t>
  </si>
  <si>
    <t>Aantal zetels:</t>
  </si>
  <si>
    <t>Kiesdeler:</t>
  </si>
  <si>
    <t>Voorkeursdrempel waarde (%)</t>
  </si>
  <si>
    <t>Lijstnaam van de politieke groepering</t>
  </si>
  <si>
    <t>Totaal stemmen</t>
  </si>
  <si>
    <t>Aantal volle zetels</t>
  </si>
  <si>
    <t>Aantal restzetels</t>
  </si>
  <si>
    <t>Aantal zetels</t>
  </si>
  <si>
    <t>Kiesdeler</t>
  </si>
  <si>
    <t>NIETS INVULLEN, getallen worden overgenomen uit eerste werkblad.</t>
  </si>
  <si>
    <t>Loting restzetel</t>
  </si>
  <si>
    <t>Totaal aantal zetels</t>
  </si>
  <si>
    <t>+1</t>
  </si>
  <si>
    <t>+2</t>
  </si>
  <si>
    <t>+3</t>
  </si>
  <si>
    <t>+4</t>
  </si>
  <si>
    <t>+5</t>
  </si>
  <si>
    <t>+6</t>
  </si>
  <si>
    <t>+7</t>
  </si>
  <si>
    <t>+8</t>
  </si>
  <si>
    <t>+9</t>
  </si>
  <si>
    <t>+10</t>
  </si>
  <si>
    <t>Loting</t>
  </si>
  <si>
    <t>versie 2023-03-01</t>
  </si>
  <si>
    <t>Forum voor Democratie</t>
  </si>
  <si>
    <t>VVD</t>
  </si>
  <si>
    <t>PVV (Partij voor de Vrijheid)</t>
  </si>
  <si>
    <t>GROENLINKS</t>
  </si>
  <si>
    <t>CDA</t>
  </si>
  <si>
    <t>Partij van de Arbeid (P.v.d.A.)</t>
  </si>
  <si>
    <t>ChristenUnie</t>
  </si>
  <si>
    <t>SP (Socialistische Partij)</t>
  </si>
  <si>
    <t>50PLUS</t>
  </si>
  <si>
    <t>D66</t>
  </si>
  <si>
    <t>Partij voor de Dieren</t>
  </si>
  <si>
    <t>Staatkundig Gereformeerde Partij (SGP)</t>
  </si>
  <si>
    <t>Krachtig Flevoland</t>
  </si>
  <si>
    <t>SterkLokaalFlevoland</t>
  </si>
  <si>
    <t>JA21</t>
  </si>
  <si>
    <t>Belang van Nederland (BVNL)</t>
  </si>
  <si>
    <t>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</si>
</sst>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#,##0&quot; &quot;;&quot; -&quot;#,##0&quot; &quot;;&quot; -&quot;00&quot; &quot;;&quot; &quot;@&quot; &quot;"/>
    <numFmt numFmtId="165" formatCode="yyyy\-mm\-dd"/>
    <numFmt numFmtId="166" formatCode="0.00000"/>
    <numFmt numFmtId="167" formatCode="#,##0&quot; &quot;;&quot;-&quot;#,##0&quot; &quot;"/>
    <numFmt numFmtId="168" formatCode="&quot; &quot;#,##0.00&quot; &quot;;&quot; -&quot;#,##0.00&quot; &quot;;&quot; -&quot;00&quot; &quot;;&quot; &quot;@&quot; &quot;"/>
  </numFmts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FF0000"/>
      <name val="Calibri"/>
      <family val="2"/>
    </font>
    <font>
      <i/>
      <sz val="20"/>
      <color rgb="FF000000"/>
      <name val="Calibri"/>
      <family val="2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sz val="14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E6E0EC"/>
        <bgColor rgb="FFE6E0EC"/>
      </patternFill>
    </fill>
    <fill>
      <patternFill patternType="solid">
        <fgColor rgb="FFFFC7CE"/>
        <bgColor rgb="FFFFC7CE"/>
      </patternFill>
    </fill>
    <fill>
      <patternFill patternType="solid">
        <fgColor rgb="FFEBF1DE"/>
        <bgColor rgb="FFEBF1DE"/>
      </patternFill>
    </fill>
    <fill>
      <patternFill patternType="solid">
        <fgColor rgb="FFDBEEF4"/>
        <bgColor rgb="FFDBEEF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2"/>
        <bgColor rgb="FFD9D9D9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4" fillId="4" borderId="0" applyNumberFormat="0" applyBorder="0" applyAlignment="0" applyProtection="0"/>
    <xf numFmtId="168" fontId="1" fillId="0" borderId="0" applyFont="0" applyBorder="0" applyProtection="0"/>
    <xf numFmtId="9" fontId="1" fillId="0" borderId="0" applyFont="0" applyBorder="0" applyProtection="0"/>
    <xf numFmtId="0" fontId="5" fillId="0" borderId="0" applyNumberFormat="0" applyBorder="0" applyProtection="0"/>
  </cellStyleXfs>
  <cellXfs count="88">
    <xf numFmtId="0" fontId="0" fillId="0" borderId="0" xfId="0"/>
    <xf numFmtId="0" fontId="11" fillId="6" borderId="3" xfId="0" applyFont="1" applyFill="1" applyBorder="1" applyAlignment="1">
      <alignment horizontal="center" vertical="center"/>
    </xf>
    <xf numFmtId="167" fontId="11" fillId="6" borderId="3" xfId="5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7" fillId="5" borderId="23" xfId="7" applyFont="1" applyFill="1" applyBorder="1" applyAlignment="1" applyProtection="1">
      <alignment horizontal="center" textRotation="90"/>
    </xf>
    <xf numFmtId="0" fontId="7" fillId="6" borderId="24" xfId="7" applyFont="1" applyFill="1" applyBorder="1" applyAlignment="1" applyProtection="1">
      <alignment horizontal="center" textRotation="90"/>
    </xf>
    <xf numFmtId="164" fontId="8" fillId="5" borderId="18" xfId="5" applyNumberFormat="1" applyFont="1" applyFill="1" applyBorder="1" applyAlignment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/>
    </xf>
    <xf numFmtId="164" fontId="8" fillId="5" borderId="19" xfId="5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 applyProtection="1">
      <alignment vertical="center"/>
      <protection locked="0"/>
    </xf>
    <xf numFmtId="164" fontId="8" fillId="8" borderId="3" xfId="5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>
      <alignment horizontal="center" vertical="center"/>
    </xf>
    <xf numFmtId="0" fontId="8" fillId="5" borderId="7" xfId="7" applyFont="1" applyFill="1" applyBorder="1" applyAlignment="1" applyProtection="1">
      <alignment horizontal="center" vertical="center" wrapText="1"/>
    </xf>
    <xf numFmtId="0" fontId="13" fillId="7" borderId="8" xfId="0" applyFont="1" applyFill="1" applyBorder="1" applyAlignment="1">
      <alignment horizontal="center" vertical="center"/>
    </xf>
    <xf numFmtId="0" fontId="8" fillId="8" borderId="1" xfId="0" applyFont="1" applyFill="1" applyBorder="1" applyAlignment="1" applyProtection="1">
      <alignment vertical="center"/>
      <protection locked="0"/>
    </xf>
    <xf numFmtId="164" fontId="8" fillId="8" borderId="1" xfId="5" applyNumberFormat="1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center" vertical="center"/>
    </xf>
    <xf numFmtId="0" fontId="8" fillId="5" borderId="4" xfId="7" applyFont="1" applyFill="1" applyBorder="1" applyAlignment="1" applyProtection="1">
      <alignment horizontal="center" vertical="center" wrapText="1"/>
    </xf>
    <xf numFmtId="0" fontId="13" fillId="7" borderId="6" xfId="0" applyFont="1" applyFill="1" applyBorder="1" applyAlignment="1">
      <alignment horizontal="center" vertical="center"/>
    </xf>
    <xf numFmtId="165" fontId="8" fillId="8" borderId="6" xfId="0" applyNumberFormat="1" applyFont="1" applyFill="1" applyBorder="1" applyAlignment="1">
      <alignment horizontal="left"/>
    </xf>
    <xf numFmtId="165" fontId="12" fillId="8" borderId="6" xfId="0" applyNumberFormat="1" applyFont="1" applyFill="1" applyBorder="1" applyAlignment="1">
      <alignment horizontal="left"/>
    </xf>
    <xf numFmtId="0" fontId="7" fillId="9" borderId="21" xfId="0" applyFont="1" applyFill="1" applyBorder="1"/>
    <xf numFmtId="0" fontId="7" fillId="9" borderId="22" xfId="0" applyFont="1" applyFill="1" applyBorder="1"/>
    <xf numFmtId="0" fontId="0" fillId="9" borderId="22" xfId="0" applyFill="1" applyBorder="1"/>
    <xf numFmtId="0" fontId="8" fillId="6" borderId="6" xfId="7" applyFont="1" applyFill="1" applyBorder="1" applyAlignment="1" applyProtection="1">
      <alignment horizontal="center" textRotation="45"/>
    </xf>
    <xf numFmtId="0" fontId="8" fillId="5" borderId="6" xfId="7" applyFont="1" applyFill="1" applyBorder="1" applyAlignment="1" applyProtection="1">
      <alignment horizontal="center" textRotation="45"/>
    </xf>
    <xf numFmtId="0" fontId="8" fillId="7" borderId="6" xfId="0" applyFont="1" applyFill="1" applyBorder="1" applyAlignment="1">
      <alignment horizontal="center" textRotation="45"/>
    </xf>
    <xf numFmtId="0" fontId="0" fillId="10" borderId="0" xfId="0" applyFill="1"/>
    <xf numFmtId="0" fontId="11" fillId="10" borderId="0" xfId="0" applyFont="1" applyFill="1"/>
    <xf numFmtId="0" fontId="11" fillId="10" borderId="2" xfId="0" applyFont="1" applyFill="1" applyBorder="1"/>
    <xf numFmtId="0" fontId="8" fillId="10" borderId="0" xfId="0" applyFont="1" applyFill="1" applyAlignment="1">
      <alignment vertical="center"/>
    </xf>
    <xf numFmtId="0" fontId="8" fillId="10" borderId="1" xfId="0" applyFont="1" applyFill="1" applyBorder="1" applyAlignment="1">
      <alignment vertical="center"/>
    </xf>
    <xf numFmtId="0" fontId="8" fillId="10" borderId="6" xfId="7" applyFont="1" applyFill="1" applyBorder="1" applyAlignment="1" applyProtection="1">
      <alignment horizontal="left" vertical="center"/>
    </xf>
    <xf numFmtId="0" fontId="13" fillId="10" borderId="0" xfId="0" applyFont="1" applyFill="1"/>
    <xf numFmtId="0" fontId="8" fillId="10" borderId="0" xfId="0" applyFont="1" applyFill="1"/>
    <xf numFmtId="165" fontId="13" fillId="10" borderId="0" xfId="0" applyNumberFormat="1" applyFont="1" applyFill="1" applyAlignment="1">
      <alignment horizontal="left"/>
    </xf>
    <xf numFmtId="0" fontId="8" fillId="10" borderId="20" xfId="0" applyFont="1" applyFill="1" applyBorder="1"/>
    <xf numFmtId="0" fontId="0" fillId="11" borderId="5" xfId="0" applyFill="1" applyBorder="1" applyAlignment="1">
      <alignment horizontal="center" vertical="center"/>
    </xf>
    <xf numFmtId="0" fontId="8" fillId="10" borderId="15" xfId="0" applyFont="1" applyFill="1" applyBorder="1" applyAlignment="1">
      <alignment horizontal="right" vertical="center"/>
    </xf>
    <xf numFmtId="0" fontId="8" fillId="10" borderId="16" xfId="0" applyFont="1" applyFill="1" applyBorder="1" applyAlignment="1">
      <alignment horizontal="right" vertical="center"/>
    </xf>
    <xf numFmtId="9" fontId="8" fillId="10" borderId="6" xfId="6" applyFont="1" applyFill="1" applyBorder="1" applyAlignment="1">
      <alignment horizontal="center" vertical="center"/>
    </xf>
    <xf numFmtId="0" fontId="8" fillId="10" borderId="16" xfId="0" applyFont="1" applyFill="1" applyBorder="1"/>
    <xf numFmtId="0" fontId="8" fillId="10" borderId="12" xfId="0" applyFont="1" applyFill="1" applyBorder="1"/>
    <xf numFmtId="0" fontId="8" fillId="10" borderId="13" xfId="0" applyFont="1" applyFill="1" applyBorder="1"/>
    <xf numFmtId="166" fontId="0" fillId="11" borderId="0" xfId="0" applyNumberFormat="1" applyFill="1" applyAlignment="1">
      <alignment horizontal="center" vertical="center"/>
    </xf>
    <xf numFmtId="164" fontId="8" fillId="11" borderId="5" xfId="5" applyNumberFormat="1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right" vertical="center"/>
    </xf>
    <xf numFmtId="0" fontId="8" fillId="10" borderId="0" xfId="0" applyFont="1" applyFill="1" applyAlignment="1">
      <alignment horizontal="right" vertical="center"/>
    </xf>
    <xf numFmtId="0" fontId="8" fillId="10" borderId="11" xfId="0" applyFont="1" applyFill="1" applyBorder="1"/>
    <xf numFmtId="0" fontId="8" fillId="10" borderId="9" xfId="0" applyFont="1" applyFill="1" applyBorder="1" applyAlignment="1">
      <alignment horizontal="right" vertical="center"/>
    </xf>
    <xf numFmtId="0" fontId="8" fillId="10" borderId="10" xfId="0" applyFont="1" applyFill="1" applyBorder="1" applyAlignment="1">
      <alignment horizontal="right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vertical="center"/>
    </xf>
    <xf numFmtId="0" fontId="10" fillId="10" borderId="0" xfId="0" applyFont="1" applyFill="1"/>
    <xf numFmtId="165" fontId="6" fillId="10" borderId="0" xfId="0" applyNumberFormat="1" applyFont="1" applyFill="1" applyAlignment="1">
      <alignment horizontal="left"/>
    </xf>
    <xf numFmtId="0" fontId="12" fillId="10" borderId="0" xfId="0" applyFont="1" applyFill="1"/>
    <xf numFmtId="0" fontId="0" fillId="10" borderId="25" xfId="0" applyFill="1" applyBorder="1"/>
    <xf numFmtId="0" fontId="0" fillId="10" borderId="5" xfId="0" applyFill="1" applyBorder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/>
    <xf numFmtId="0" fontId="0" fillId="10" borderId="14" xfId="0" applyFill="1" applyBorder="1"/>
    <xf numFmtId="0" fontId="0" fillId="10" borderId="26" xfId="0" applyFill="1" applyBorder="1"/>
    <xf numFmtId="0" fontId="0" fillId="10" borderId="27" xfId="0" applyFill="1" applyBorder="1"/>
    <xf numFmtId="0" fontId="0" fillId="10" borderId="19" xfId="0" applyFill="1" applyBorder="1" applyAlignment="1">
      <alignment horizontal="center" vertical="center"/>
    </xf>
    <xf numFmtId="0" fontId="0" fillId="10" borderId="19" xfId="0" applyFill="1" applyBorder="1"/>
    <xf numFmtId="0" fontId="0" fillId="10" borderId="17" xfId="0" applyFill="1" applyBorder="1"/>
    <xf numFmtId="0" fontId="7" fillId="10" borderId="6" xfId="0" applyFont="1" applyFill="1" applyBorder="1" applyAlignment="1">
      <alignment horizontal="center" vertical="center"/>
    </xf>
    <xf numFmtId="0" fontId="9" fillId="10" borderId="6" xfId="0" applyFont="1" applyFill="1" applyBorder="1"/>
    <xf numFmtId="0" fontId="0" fillId="10" borderId="6" xfId="0" applyFill="1" applyBorder="1"/>
    <xf numFmtId="0" fontId="7" fillId="10" borderId="10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/>
    </xf>
    <xf numFmtId="0" fontId="9" fillId="10" borderId="11" xfId="0" applyFont="1" applyFill="1" applyBorder="1" applyAlignment="1">
      <alignment horizontal="center"/>
    </xf>
    <xf numFmtId="0" fontId="0" fillId="10" borderId="9" xfId="0" applyFill="1" applyBorder="1"/>
    <xf numFmtId="0" fontId="0" fillId="10" borderId="10" xfId="0" applyFill="1" applyBorder="1"/>
    <xf numFmtId="0" fontId="2" fillId="10" borderId="0" xfId="0" applyFont="1" applyFill="1"/>
    <xf numFmtId="0" fontId="7" fillId="10" borderId="0" xfId="0" applyFont="1" applyFill="1"/>
    <xf numFmtId="0" fontId="0" fillId="10" borderId="6" xfId="0" applyFill="1" applyBorder="1" applyAlignment="1">
      <alignment horizontal="center"/>
    </xf>
    <xf numFmtId="0" fontId="7" fillId="10" borderId="6" xfId="0" applyFont="1" applyFill="1" applyBorder="1" applyAlignment="1">
      <alignment horizontal="left"/>
    </xf>
    <xf numFmtId="0" fontId="7" fillId="12" borderId="10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0" fillId="12" borderId="1" xfId="0" applyFill="1" applyBorder="1"/>
    <xf numFmtId="0" fontId="0" fillId="12" borderId="19" xfId="0" applyFill="1" applyBorder="1"/>
    <xf numFmtId="0" fontId="0" fillId="13" borderId="0" xfId="0" applyFill="1"/>
    <xf numFmtId="0" fontId="0" fillId="12" borderId="6" xfId="0" applyFill="1" applyBorder="1"/>
    <xf numFmtId="0" fontId="9" fillId="13" borderId="6" xfId="0" applyFont="1" applyFill="1" applyBorder="1"/>
    <xf numFmtId="0" fontId="7" fillId="10" borderId="28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left"/>
    </xf>
  </cellXfs>
  <cellStyles count="8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Comma" xfId="5" xr:uid="{00000000-0005-0000-0000-000004000000}"/>
    <cellStyle name="Percent" xfId="6" xr:uid="{00000000-0005-0000-0000-000005000000}"/>
    <cellStyle name="Standaard" xfId="0" builtinId="0" customBuiltin="1"/>
    <cellStyle name="Standaard_Blad1" xfId="7" xr:uid="{00000000-0005-0000-0000-000007000000}"/>
  </cellStyles>
  <dxfs count="4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E6E0EC"/>
          <bgColor rgb="FFE6E0EC"/>
        </patternFill>
      </fill>
    </dxf>
    <dxf>
      <font>
        <color rgb="FFFFFFFF"/>
        <family val="2"/>
      </font>
      <fill>
        <patternFill patternType="solid">
          <fgColor rgb="FFFF0000"/>
          <bgColor rgb="FFFF0000"/>
        </patternFill>
      </fill>
    </dxf>
    <dxf>
      <font>
        <color rgb="FFFF0000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tabSelected="1" topLeftCell="A35" zoomScaleNormal="100" workbookViewId="0">
      <selection activeCell="K30" sqref="K30"/>
    </sheetView>
  </sheetViews>
  <sheetFormatPr defaultColWidth="9.109375" defaultRowHeight="14.4" x14ac:dyDescent="0.3"/>
  <cols>
    <col min="1" max="1" width="4.6640625" style="28" customWidth="1"/>
    <col min="2" max="2" width="55.33203125" style="28" customWidth="1"/>
    <col min="3" max="7" width="18.6640625" style="28" customWidth="1"/>
    <col min="8" max="8" width="18.44140625" style="28" hidden="1" customWidth="1"/>
    <col min="9" max="9" width="13.109375" style="28" customWidth="1"/>
    <col min="10" max="10" width="9.109375" style="28" customWidth="1"/>
    <col min="11" max="16384" width="9.109375" style="28"/>
  </cols>
  <sheetData>
    <row r="2" spans="2:8" ht="25.8" x14ac:dyDescent="0.5">
      <c r="B2" s="54" t="s">
        <v>0</v>
      </c>
    </row>
    <row r="3" spans="2:8" x14ac:dyDescent="0.3">
      <c r="B3" s="55" t="s">
        <v>26</v>
      </c>
    </row>
    <row r="4" spans="2:8" ht="21" x14ac:dyDescent="0.4">
      <c r="C4" s="56"/>
      <c r="D4" s="56"/>
      <c r="E4" s="56"/>
      <c r="F4" s="56"/>
    </row>
    <row r="5" spans="2:8" ht="18" x14ac:dyDescent="0.35">
      <c r="B5" s="20" t="s">
        <v>1</v>
      </c>
      <c r="C5" s="35"/>
      <c r="D5" s="35"/>
      <c r="E5" s="35"/>
      <c r="F5" s="35"/>
      <c r="G5" s="35"/>
    </row>
    <row r="6" spans="2:8" ht="18" x14ac:dyDescent="0.35">
      <c r="B6" s="50" t="s">
        <v>2</v>
      </c>
      <c r="C6" s="51"/>
      <c r="D6" s="52"/>
      <c r="E6" s="53"/>
      <c r="F6" s="6">
        <f>IF(H6&gt;0,H6,"")</f>
        <v>163200</v>
      </c>
      <c r="G6" s="49"/>
      <c r="H6" s="46">
        <f>C45</f>
        <v>163200</v>
      </c>
    </row>
    <row r="7" spans="2:8" ht="18" x14ac:dyDescent="0.35">
      <c r="B7" s="47" t="s">
        <v>3</v>
      </c>
      <c r="C7" s="48"/>
      <c r="D7" s="7">
        <v>41</v>
      </c>
      <c r="E7" s="36" t="str">
        <f>IF(AND(ISNUMBER(D7),D7&lt;19),"Let op: Het aantal zetels moet 19 of meer bedragen in dit controleblad!","")</f>
        <v/>
      </c>
      <c r="F7" s="35"/>
      <c r="G7" s="44"/>
    </row>
    <row r="8" spans="2:8" ht="18" x14ac:dyDescent="0.35">
      <c r="B8" s="47" t="s">
        <v>4</v>
      </c>
      <c r="C8" s="35"/>
      <c r="D8" s="35"/>
      <c r="E8" s="35"/>
      <c r="F8" s="8" t="str">
        <f>IF(AND(ISNUMBER(F6),ISNUMBER(D7),F6&gt;0,D7&gt;0),CONCATENATE(H8,"   ",IF((H6-(D7*H8))&gt;0,CONCATENATE((H6-(D7*H8))," / ",D7),""),""),"")</f>
        <v>3980   20 / 41</v>
      </c>
      <c r="G8" s="44"/>
      <c r="H8" s="46">
        <f>ROUNDDOWN(H9,0)</f>
        <v>3980</v>
      </c>
    </row>
    <row r="9" spans="2:8" ht="18" x14ac:dyDescent="0.35">
      <c r="B9" s="43"/>
      <c r="C9" s="35"/>
      <c r="D9" s="35"/>
      <c r="E9" s="35"/>
      <c r="F9" s="35"/>
      <c r="G9" s="44"/>
      <c r="H9" s="45">
        <f>H6/D7</f>
        <v>3980.4878048780488</v>
      </c>
    </row>
    <row r="10" spans="2:8" ht="18" x14ac:dyDescent="0.35">
      <c r="B10" s="39" t="s">
        <v>5</v>
      </c>
      <c r="C10" s="40"/>
      <c r="D10" s="41">
        <v>0.25</v>
      </c>
      <c r="E10" s="42"/>
      <c r="F10" s="9">
        <f>IF(AND(ISNUMBER(D10),ISNUMBER(H10)),ROUNDUP(H10,0),"")</f>
        <v>996</v>
      </c>
      <c r="G10" s="37"/>
      <c r="H10" s="38">
        <f>D10*H9</f>
        <v>995.1219512195122</v>
      </c>
    </row>
    <row r="11" spans="2:8" ht="18" x14ac:dyDescent="0.35">
      <c r="B11" s="34" t="str">
        <f>IF(ISNUMBER($H$9),IF(COUNTIFS($C$17:$C$42,"&gt;"&amp;VALUE(0.5*SUM($C$17:$C$42)),$F$17:$F$42,"="&amp;ROUNDDOWN(0.5*$D$7,0))&gt;0,"Let op: Er is sprake van artikel P 9 (absolute meerderheid), deze controlesheet voorziet hier niet in! De laatste toegekende restzetel dient te verschuiven naar de lijst met de meeste stemmen.",""),"")</f>
        <v/>
      </c>
      <c r="C11" s="34"/>
      <c r="D11" s="35"/>
      <c r="E11" s="35"/>
      <c r="F11" s="35"/>
      <c r="G11" s="35"/>
    </row>
    <row r="12" spans="2:8" ht="18" x14ac:dyDescent="0.35">
      <c r="B12" s="36" t="str">
        <f>IF(ISNUMBER($H$9),IF((Restzetelverdeling!J6&gt;10),"Let op: Er zijn meer dan 10 restzetels, dit controleblad is beperkt tot maximaal 10 restzetels!",""),"")</f>
        <v/>
      </c>
      <c r="C12" s="35"/>
      <c r="D12" s="35"/>
      <c r="E12" s="35"/>
      <c r="F12" s="35"/>
      <c r="G12" s="35"/>
    </row>
    <row r="13" spans="2:8" ht="23.25" customHeight="1" x14ac:dyDescent="0.35">
      <c r="B13" s="36" t="str">
        <f>IF(ISNUMBER($H$9),IF((Restzetelverdeling!$J$6&gt;$E$45),"Let op: Er dient een of meerdere lotingen plaats te vinden ten behoeve van de restzetelverdeling!",""),"")</f>
        <v/>
      </c>
      <c r="C13" s="35"/>
      <c r="D13" s="35"/>
      <c r="E13" s="35"/>
      <c r="F13" s="35"/>
      <c r="G13" s="35"/>
    </row>
    <row r="14" spans="2:8" ht="18" x14ac:dyDescent="0.35">
      <c r="B14" s="34" t="str">
        <f>IF(ISNUMBER($H$9),IF(AND($C$45&gt;0,$F$45&lt;&gt;$D$7,COUNTIF($G$17:$G$42,"Loting")=0),"Let op: Het totaal aantal toebedeelde zetels is niet gelijk aan het aantal zetels in de verkiezing!",""),"")</f>
        <v/>
      </c>
      <c r="C14" s="35"/>
      <c r="D14" s="35"/>
      <c r="E14" s="35"/>
      <c r="F14" s="35"/>
      <c r="G14" s="35"/>
    </row>
    <row r="15" spans="2:8" ht="18" x14ac:dyDescent="0.35">
      <c r="B15" s="34" t="str">
        <f>IF(ISNUMBER($H$9),IF(COUNTIF($C$17:$C$42,"&lt;0")&gt;0,"Let op: Er is een negatief stemaantal ingevuld!",""),"")</f>
        <v/>
      </c>
      <c r="C15" s="35"/>
      <c r="D15" s="35"/>
      <c r="E15" s="35"/>
      <c r="F15" s="35"/>
      <c r="G15" s="35"/>
    </row>
    <row r="16" spans="2:8" ht="109.5" customHeight="1" x14ac:dyDescent="0.3">
      <c r="B16" s="33" t="s">
        <v>6</v>
      </c>
      <c r="C16" s="25" t="s">
        <v>7</v>
      </c>
      <c r="D16" s="25" t="s">
        <v>8</v>
      </c>
      <c r="E16" s="25" t="s">
        <v>9</v>
      </c>
      <c r="F16" s="26" t="s">
        <v>10</v>
      </c>
      <c r="G16" s="27" t="s">
        <v>25</v>
      </c>
    </row>
    <row r="17" spans="1:7" s="31" customFormat="1" ht="30" customHeight="1" x14ac:dyDescent="0.3">
      <c r="A17" s="32">
        <v>1</v>
      </c>
      <c r="B17" s="10" t="s">
        <v>27</v>
      </c>
      <c r="C17" s="11">
        <v>7343</v>
      </c>
      <c r="D17" s="12">
        <f t="shared" ref="D17:D42" si="0">IF(AND(ISNUMBER($F$10),ISNUMBER($C17)),ROUNDDOWN($C17/$H$9,0),"")</f>
        <v>1</v>
      </c>
      <c r="E17" s="12">
        <f>IF(AND(ISNUMBER($F$10),ISNUMBER($C17)),Restzetelverdeling!E10,"")</f>
        <v>1</v>
      </c>
      <c r="F17" s="13">
        <f t="shared" ref="F17:F42" si="1">IF(AND(ISNUMBER($F$10),ISNUMBER($C17)),$D17+$E17,"")</f>
        <v>2</v>
      </c>
      <c r="G17" s="14" t="str">
        <f>IF(AND(ISNUMBER($F$10),ISNUMBER($C17)),Restzetelverdeling!F10,"")</f>
        <v/>
      </c>
    </row>
    <row r="18" spans="1:7" s="31" customFormat="1" ht="30" customHeight="1" x14ac:dyDescent="0.3">
      <c r="A18" s="32">
        <v>2</v>
      </c>
      <c r="B18" s="15" t="s">
        <v>28</v>
      </c>
      <c r="C18" s="16">
        <v>16321</v>
      </c>
      <c r="D18" s="17">
        <f t="shared" si="0"/>
        <v>4</v>
      </c>
      <c r="E18" s="17">
        <f>IF(AND(ISNUMBER($F$10),ISNUMBER($C18)),Restzetelverdeling!E11,"")</f>
        <v>0</v>
      </c>
      <c r="F18" s="18">
        <f t="shared" si="1"/>
        <v>4</v>
      </c>
      <c r="G18" s="19" t="str">
        <f>IF(AND(ISNUMBER($F$10),ISNUMBER($C18)),Restzetelverdeling!F11,"")</f>
        <v/>
      </c>
    </row>
    <row r="19" spans="1:7" s="31" customFormat="1" ht="30" customHeight="1" x14ac:dyDescent="0.3">
      <c r="A19" s="32">
        <v>3</v>
      </c>
      <c r="B19" s="15" t="s">
        <v>29</v>
      </c>
      <c r="C19" s="16">
        <v>12474</v>
      </c>
      <c r="D19" s="17">
        <f t="shared" si="0"/>
        <v>3</v>
      </c>
      <c r="E19" s="17">
        <f>IF(AND(ISNUMBER($F$10),ISNUMBER($C19)),Restzetelverdeling!E12,"")</f>
        <v>0</v>
      </c>
      <c r="F19" s="18">
        <f t="shared" si="1"/>
        <v>3</v>
      </c>
      <c r="G19" s="19" t="str">
        <f>IF(AND(ISNUMBER($F$10),ISNUMBER($C19)),Restzetelverdeling!F12,"")</f>
        <v/>
      </c>
    </row>
    <row r="20" spans="1:7" s="31" customFormat="1" ht="30" customHeight="1" x14ac:dyDescent="0.3">
      <c r="A20" s="32">
        <v>4</v>
      </c>
      <c r="B20" s="15" t="s">
        <v>30</v>
      </c>
      <c r="C20" s="16">
        <v>11239</v>
      </c>
      <c r="D20" s="17">
        <f t="shared" si="0"/>
        <v>2</v>
      </c>
      <c r="E20" s="17">
        <f>IF(AND(ISNUMBER($F$10),ISNUMBER($C20)),Restzetelverdeling!E13,"")</f>
        <v>1</v>
      </c>
      <c r="F20" s="18">
        <f t="shared" si="1"/>
        <v>3</v>
      </c>
      <c r="G20" s="19" t="str">
        <f>IF(AND(ISNUMBER($F$10),ISNUMBER($C20)),Restzetelverdeling!F13,"")</f>
        <v/>
      </c>
    </row>
    <row r="21" spans="1:7" s="31" customFormat="1" ht="30" customHeight="1" x14ac:dyDescent="0.3">
      <c r="A21" s="32">
        <v>5</v>
      </c>
      <c r="B21" s="15" t="s">
        <v>31</v>
      </c>
      <c r="C21" s="16">
        <v>8277</v>
      </c>
      <c r="D21" s="17">
        <f t="shared" si="0"/>
        <v>2</v>
      </c>
      <c r="E21" s="17">
        <f>IF(AND(ISNUMBER($F$10),ISNUMBER($C21)),Restzetelverdeling!E14,"")</f>
        <v>0</v>
      </c>
      <c r="F21" s="18">
        <f t="shared" si="1"/>
        <v>2</v>
      </c>
      <c r="G21" s="19" t="str">
        <f>IF(AND(ISNUMBER($F$10),ISNUMBER($C21)),Restzetelverdeling!F14,"")</f>
        <v/>
      </c>
    </row>
    <row r="22" spans="1:7" s="31" customFormat="1" ht="30" customHeight="1" x14ac:dyDescent="0.3">
      <c r="A22" s="32">
        <v>6</v>
      </c>
      <c r="B22" s="15" t="s">
        <v>32</v>
      </c>
      <c r="C22" s="16">
        <v>12391</v>
      </c>
      <c r="D22" s="17">
        <f t="shared" si="0"/>
        <v>3</v>
      </c>
      <c r="E22" s="17">
        <f>IF(AND(ISNUMBER($F$10),ISNUMBER($C22)),Restzetelverdeling!E15,"")</f>
        <v>0</v>
      </c>
      <c r="F22" s="18">
        <f t="shared" si="1"/>
        <v>3</v>
      </c>
      <c r="G22" s="19" t="str">
        <f>IF(AND(ISNUMBER($F$10),ISNUMBER($C22)),Restzetelverdeling!F15,"")</f>
        <v/>
      </c>
    </row>
    <row r="23" spans="1:7" s="31" customFormat="1" ht="30" customHeight="1" x14ac:dyDescent="0.3">
      <c r="A23" s="32">
        <v>7</v>
      </c>
      <c r="B23" s="15" t="s">
        <v>33</v>
      </c>
      <c r="C23" s="16">
        <v>9620</v>
      </c>
      <c r="D23" s="17">
        <f t="shared" si="0"/>
        <v>2</v>
      </c>
      <c r="E23" s="17">
        <f>IF(AND(ISNUMBER($F$10),ISNUMBER($C23)),Restzetelverdeling!E16,"")</f>
        <v>0</v>
      </c>
      <c r="F23" s="18">
        <f t="shared" si="1"/>
        <v>2</v>
      </c>
      <c r="G23" s="19" t="str">
        <f>IF(AND(ISNUMBER($F$10),ISNUMBER($C23)),Restzetelverdeling!F16,"")</f>
        <v/>
      </c>
    </row>
    <row r="24" spans="1:7" s="31" customFormat="1" ht="30" customHeight="1" x14ac:dyDescent="0.3">
      <c r="A24" s="32">
        <v>8</v>
      </c>
      <c r="B24" s="15" t="s">
        <v>34</v>
      </c>
      <c r="C24" s="16">
        <v>6915</v>
      </c>
      <c r="D24" s="17">
        <f t="shared" si="0"/>
        <v>1</v>
      </c>
      <c r="E24" s="17">
        <f>IF(AND(ISNUMBER($F$10),ISNUMBER($C24)),Restzetelverdeling!E17,"")</f>
        <v>1</v>
      </c>
      <c r="F24" s="18">
        <f t="shared" si="1"/>
        <v>2</v>
      </c>
      <c r="G24" s="19" t="str">
        <f>IF(AND(ISNUMBER($F$10),ISNUMBER($C24)),Restzetelverdeling!F17,"")</f>
        <v/>
      </c>
    </row>
    <row r="25" spans="1:7" s="31" customFormat="1" ht="30" customHeight="1" x14ac:dyDescent="0.3">
      <c r="A25" s="32">
        <v>9</v>
      </c>
      <c r="B25" s="15" t="s">
        <v>35</v>
      </c>
      <c r="C25" s="16">
        <v>4048</v>
      </c>
      <c r="D25" s="17">
        <f t="shared" si="0"/>
        <v>1</v>
      </c>
      <c r="E25" s="17">
        <f>IF(AND(ISNUMBER($F$10),ISNUMBER($C25)),Restzetelverdeling!E18,"")</f>
        <v>0</v>
      </c>
      <c r="F25" s="18">
        <f t="shared" si="1"/>
        <v>1</v>
      </c>
      <c r="G25" s="19" t="str">
        <f>IF(AND(ISNUMBER($F$10),ISNUMBER($C25)),Restzetelverdeling!F18,"")</f>
        <v/>
      </c>
    </row>
    <row r="26" spans="1:7" s="31" customFormat="1" ht="30" customHeight="1" x14ac:dyDescent="0.3">
      <c r="A26" s="32">
        <v>10</v>
      </c>
      <c r="B26" s="15" t="s">
        <v>36</v>
      </c>
      <c r="C26" s="16">
        <v>9255</v>
      </c>
      <c r="D26" s="17">
        <f t="shared" si="0"/>
        <v>2</v>
      </c>
      <c r="E26" s="17">
        <f>IF(AND(ISNUMBER($F$10),ISNUMBER($C26)),Restzetelverdeling!E19,"")</f>
        <v>0</v>
      </c>
      <c r="F26" s="18">
        <f t="shared" si="1"/>
        <v>2</v>
      </c>
      <c r="G26" s="19" t="str">
        <f>IF(AND(ISNUMBER($F$10),ISNUMBER($C26)),Restzetelverdeling!F19,"")</f>
        <v/>
      </c>
    </row>
    <row r="27" spans="1:7" s="31" customFormat="1" ht="30" customHeight="1" x14ac:dyDescent="0.3">
      <c r="A27" s="32">
        <v>11</v>
      </c>
      <c r="B27" s="15" t="s">
        <v>37</v>
      </c>
      <c r="C27" s="16">
        <v>7423</v>
      </c>
      <c r="D27" s="17">
        <f t="shared" si="0"/>
        <v>1</v>
      </c>
      <c r="E27" s="17">
        <f>IF(AND(ISNUMBER($F$10),ISNUMBER($C27)),Restzetelverdeling!E20,"")</f>
        <v>1</v>
      </c>
      <c r="F27" s="18">
        <f t="shared" si="1"/>
        <v>2</v>
      </c>
      <c r="G27" s="19" t="str">
        <f>IF(AND(ISNUMBER($F$10),ISNUMBER($C27)),Restzetelverdeling!F20,"")</f>
        <v/>
      </c>
    </row>
    <row r="28" spans="1:7" s="31" customFormat="1" ht="30" customHeight="1" x14ac:dyDescent="0.3">
      <c r="A28" s="32">
        <v>12</v>
      </c>
      <c r="B28" s="15" t="s">
        <v>38</v>
      </c>
      <c r="C28" s="16">
        <v>6835</v>
      </c>
      <c r="D28" s="17">
        <f t="shared" si="0"/>
        <v>1</v>
      </c>
      <c r="E28" s="17">
        <f>IF(AND(ISNUMBER($F$10),ISNUMBER($C28)),Restzetelverdeling!E21,"")</f>
        <v>1</v>
      </c>
      <c r="F28" s="18">
        <f t="shared" si="1"/>
        <v>2</v>
      </c>
      <c r="G28" s="19" t="str">
        <f>IF(AND(ISNUMBER($F$10),ISNUMBER($C28)),Restzetelverdeling!F21,"")</f>
        <v/>
      </c>
    </row>
    <row r="29" spans="1:7" s="31" customFormat="1" ht="30" customHeight="1" x14ac:dyDescent="0.3">
      <c r="A29" s="32">
        <v>13</v>
      </c>
      <c r="B29" s="15" t="s">
        <v>39</v>
      </c>
      <c r="C29" s="16">
        <v>2879</v>
      </c>
      <c r="D29" s="17">
        <f t="shared" si="0"/>
        <v>0</v>
      </c>
      <c r="E29" s="17">
        <f>IF(AND(ISNUMBER($F$10),ISNUMBER($C29)),Restzetelverdeling!E22,"")</f>
        <v>0</v>
      </c>
      <c r="F29" s="18">
        <f t="shared" si="1"/>
        <v>0</v>
      </c>
      <c r="G29" s="19" t="str">
        <f>IF(AND(ISNUMBER($F$10),ISNUMBER($C29)),Restzetelverdeling!F22,"")</f>
        <v/>
      </c>
    </row>
    <row r="30" spans="1:7" s="31" customFormat="1" ht="30" customHeight="1" x14ac:dyDescent="0.3">
      <c r="A30" s="32">
        <v>14</v>
      </c>
      <c r="B30" s="15" t="s">
        <v>40</v>
      </c>
      <c r="C30" s="16">
        <v>4518</v>
      </c>
      <c r="D30" s="17">
        <f t="shared" si="0"/>
        <v>1</v>
      </c>
      <c r="E30" s="17">
        <f>IF(AND(ISNUMBER($F$10),ISNUMBER($C30)),Restzetelverdeling!E23,"")</f>
        <v>0</v>
      </c>
      <c r="F30" s="18">
        <f t="shared" si="1"/>
        <v>1</v>
      </c>
      <c r="G30" s="19" t="str">
        <f>IF(AND(ISNUMBER($F$10),ISNUMBER($C30)),Restzetelverdeling!F23,"")</f>
        <v/>
      </c>
    </row>
    <row r="31" spans="1:7" s="31" customFormat="1" ht="30" customHeight="1" x14ac:dyDescent="0.3">
      <c r="A31" s="32">
        <v>15</v>
      </c>
      <c r="B31" s="15" t="s">
        <v>41</v>
      </c>
      <c r="C31" s="16">
        <v>7571</v>
      </c>
      <c r="D31" s="17">
        <f t="shared" si="0"/>
        <v>1</v>
      </c>
      <c r="E31" s="17">
        <f>IF(AND(ISNUMBER($F$10),ISNUMBER($C31)),Restzetelverdeling!E24,"")</f>
        <v>1</v>
      </c>
      <c r="F31" s="18">
        <f t="shared" si="1"/>
        <v>2</v>
      </c>
      <c r="G31" s="19" t="str">
        <f>IF(AND(ISNUMBER($F$10),ISNUMBER($C31)),Restzetelverdeling!F24,"")</f>
        <v/>
      </c>
    </row>
    <row r="32" spans="1:7" s="31" customFormat="1" ht="30" customHeight="1" x14ac:dyDescent="0.3">
      <c r="A32" s="32">
        <v>16</v>
      </c>
      <c r="B32" s="15" t="s">
        <v>42</v>
      </c>
      <c r="C32" s="16">
        <v>2104</v>
      </c>
      <c r="D32" s="17">
        <f t="shared" si="0"/>
        <v>0</v>
      </c>
      <c r="E32" s="17">
        <f>IF(AND(ISNUMBER($F$10),ISNUMBER($C32)),Restzetelverdeling!E25,"")</f>
        <v>0</v>
      </c>
      <c r="F32" s="18">
        <f t="shared" si="1"/>
        <v>0</v>
      </c>
      <c r="G32" s="19" t="str">
        <f>IF(AND(ISNUMBER($F$10),ISNUMBER($C32)),Restzetelverdeling!F25,"")</f>
        <v/>
      </c>
    </row>
    <row r="33" spans="1:7" s="31" customFormat="1" ht="30" customHeight="1" x14ac:dyDescent="0.3">
      <c r="A33" s="32">
        <v>17</v>
      </c>
      <c r="B33" s="15" t="s">
        <v>43</v>
      </c>
      <c r="C33" s="16">
        <v>33987</v>
      </c>
      <c r="D33" s="17">
        <f t="shared" si="0"/>
        <v>8</v>
      </c>
      <c r="E33" s="17">
        <f>IF(AND(ISNUMBER($F$10),ISNUMBER($C33)),Restzetelverdeling!E26,"")</f>
        <v>2</v>
      </c>
      <c r="F33" s="18">
        <f t="shared" si="1"/>
        <v>10</v>
      </c>
      <c r="G33" s="19" t="str">
        <f>IF(AND(ISNUMBER($F$10),ISNUMBER($C33)),Restzetelverdeling!F26,"")</f>
        <v/>
      </c>
    </row>
    <row r="34" spans="1:7" s="31" customFormat="1" ht="30" customHeight="1" x14ac:dyDescent="0.3">
      <c r="A34" s="32">
        <v>18</v>
      </c>
      <c r="B34" s="15"/>
      <c r="C34" s="16"/>
      <c r="D34" s="17" t="str">
        <f t="shared" si="0"/>
        <v/>
      </c>
      <c r="E34" s="17" t="str">
        <f>IF(AND(ISNUMBER($F$10),ISNUMBER($C34)),Restzetelverdeling!E27,"")</f>
        <v/>
      </c>
      <c r="F34" s="18" t="str">
        <f t="shared" si="1"/>
        <v/>
      </c>
      <c r="G34" s="19" t="str">
        <f>IF(AND(ISNUMBER($F$10),ISNUMBER($C34)),Restzetelverdeling!F27,"")</f>
        <v/>
      </c>
    </row>
    <row r="35" spans="1:7" s="31" customFormat="1" ht="30" customHeight="1" x14ac:dyDescent="0.3">
      <c r="A35" s="32">
        <v>19</v>
      </c>
      <c r="B35" s="15"/>
      <c r="C35" s="16"/>
      <c r="D35" s="17" t="str">
        <f t="shared" si="0"/>
        <v/>
      </c>
      <c r="E35" s="17" t="str">
        <f>IF(AND(ISNUMBER($F$10),ISNUMBER($C35)),Restzetelverdeling!E28,"")</f>
        <v/>
      </c>
      <c r="F35" s="18" t="str">
        <f t="shared" si="1"/>
        <v/>
      </c>
      <c r="G35" s="19" t="str">
        <f>IF(AND(ISNUMBER($F$10),ISNUMBER($C35)),Restzetelverdeling!F28,"")</f>
        <v/>
      </c>
    </row>
    <row r="36" spans="1:7" s="31" customFormat="1" ht="30" customHeight="1" x14ac:dyDescent="0.3">
      <c r="A36" s="32">
        <v>20</v>
      </c>
      <c r="B36" s="15"/>
      <c r="C36" s="16"/>
      <c r="D36" s="17" t="str">
        <f t="shared" si="0"/>
        <v/>
      </c>
      <c r="E36" s="17" t="str">
        <f>IF(AND(ISNUMBER($F$10),ISNUMBER($C36)),Restzetelverdeling!E29,"")</f>
        <v/>
      </c>
      <c r="F36" s="18" t="str">
        <f t="shared" si="1"/>
        <v/>
      </c>
      <c r="G36" s="19" t="str">
        <f>IF(AND(ISNUMBER($F$10),ISNUMBER($C36)),Restzetelverdeling!F29,"")</f>
        <v/>
      </c>
    </row>
    <row r="37" spans="1:7" s="31" customFormat="1" ht="30" customHeight="1" x14ac:dyDescent="0.3">
      <c r="A37" s="32">
        <v>21</v>
      </c>
      <c r="B37" s="15"/>
      <c r="C37" s="16"/>
      <c r="D37" s="17" t="str">
        <f t="shared" si="0"/>
        <v/>
      </c>
      <c r="E37" s="17" t="str">
        <f>IF(AND(ISNUMBER($F$10),ISNUMBER($C37)),Restzetelverdeling!E30,"")</f>
        <v/>
      </c>
      <c r="F37" s="18" t="str">
        <f t="shared" si="1"/>
        <v/>
      </c>
      <c r="G37" s="19" t="str">
        <f>IF(AND(ISNUMBER($F$10),ISNUMBER($C37)),Restzetelverdeling!F30,"")</f>
        <v/>
      </c>
    </row>
    <row r="38" spans="1:7" s="31" customFormat="1" ht="30" customHeight="1" x14ac:dyDescent="0.3">
      <c r="A38" s="32">
        <v>22</v>
      </c>
      <c r="B38" s="15"/>
      <c r="C38" s="16"/>
      <c r="D38" s="17" t="str">
        <f t="shared" si="0"/>
        <v/>
      </c>
      <c r="E38" s="17" t="str">
        <f>IF(AND(ISNUMBER($F$10),ISNUMBER($C38)),Restzetelverdeling!E31,"")</f>
        <v/>
      </c>
      <c r="F38" s="18" t="str">
        <f t="shared" si="1"/>
        <v/>
      </c>
      <c r="G38" s="19" t="str">
        <f>IF(AND(ISNUMBER($F$10),ISNUMBER($C38)),Restzetelverdeling!F31,"")</f>
        <v/>
      </c>
    </row>
    <row r="39" spans="1:7" s="31" customFormat="1" ht="30" customHeight="1" x14ac:dyDescent="0.3">
      <c r="A39" s="32">
        <v>23</v>
      </c>
      <c r="B39" s="15"/>
      <c r="C39" s="16"/>
      <c r="D39" s="17" t="str">
        <f t="shared" si="0"/>
        <v/>
      </c>
      <c r="E39" s="17" t="str">
        <f>IF(AND(ISNUMBER($F$10),ISNUMBER($C39)),Restzetelverdeling!E32,"")</f>
        <v/>
      </c>
      <c r="F39" s="18" t="str">
        <f t="shared" si="1"/>
        <v/>
      </c>
      <c r="G39" s="19" t="str">
        <f>IF(AND(ISNUMBER($F$10),ISNUMBER($C39)),Restzetelverdeling!F32,"")</f>
        <v/>
      </c>
    </row>
    <row r="40" spans="1:7" s="31" customFormat="1" ht="30" customHeight="1" x14ac:dyDescent="0.3">
      <c r="A40" s="32">
        <v>24</v>
      </c>
      <c r="B40" s="15"/>
      <c r="C40" s="16"/>
      <c r="D40" s="17" t="str">
        <f t="shared" si="0"/>
        <v/>
      </c>
      <c r="E40" s="17" t="str">
        <f>IF(AND(ISNUMBER($F$10),ISNUMBER($C40)),Restzetelverdeling!E33,"")</f>
        <v/>
      </c>
      <c r="F40" s="18" t="str">
        <f t="shared" si="1"/>
        <v/>
      </c>
      <c r="G40" s="19" t="str">
        <f>IF(AND(ISNUMBER($F$10),ISNUMBER($C40)),Restzetelverdeling!F33,"")</f>
        <v/>
      </c>
    </row>
    <row r="41" spans="1:7" s="31" customFormat="1" ht="30" customHeight="1" x14ac:dyDescent="0.3">
      <c r="A41" s="32">
        <v>25</v>
      </c>
      <c r="B41" s="15"/>
      <c r="C41" s="16"/>
      <c r="D41" s="17" t="str">
        <f t="shared" si="0"/>
        <v/>
      </c>
      <c r="E41" s="17" t="str">
        <f>IF(AND(ISNUMBER($F$10),ISNUMBER($C41)),Restzetelverdeling!E34,"")</f>
        <v/>
      </c>
      <c r="F41" s="18" t="str">
        <f t="shared" si="1"/>
        <v/>
      </c>
      <c r="G41" s="19" t="str">
        <f>IF(AND(ISNUMBER($F$10),ISNUMBER($C41)),Restzetelverdeling!F34,"")</f>
        <v/>
      </c>
    </row>
    <row r="42" spans="1:7" s="31" customFormat="1" ht="30" customHeight="1" x14ac:dyDescent="0.3">
      <c r="A42" s="32">
        <v>26</v>
      </c>
      <c r="B42" s="15"/>
      <c r="C42" s="16"/>
      <c r="D42" s="17" t="str">
        <f t="shared" si="0"/>
        <v/>
      </c>
      <c r="E42" s="17" t="str">
        <f>IF(AND(ISNUMBER($F$10),ISNUMBER($C42)),Restzetelverdeling!E35,"")</f>
        <v/>
      </c>
      <c r="F42" s="18" t="str">
        <f t="shared" si="1"/>
        <v/>
      </c>
      <c r="G42" s="19" t="str">
        <f>IF(AND(ISNUMBER($F$10),ISNUMBER($C42)),Restzetelverdeling!F35,"")</f>
        <v/>
      </c>
    </row>
    <row r="43" spans="1:7" ht="15.6" x14ac:dyDescent="0.3">
      <c r="B43" s="29"/>
      <c r="C43" s="29"/>
      <c r="D43" s="29"/>
      <c r="E43" s="29"/>
      <c r="F43" s="29"/>
      <c r="G43" s="29"/>
    </row>
    <row r="44" spans="1:7" ht="15.6" x14ac:dyDescent="0.3">
      <c r="B44" s="29"/>
      <c r="C44" s="30"/>
      <c r="D44" s="30"/>
      <c r="E44" s="30"/>
      <c r="F44" s="30"/>
      <c r="G44" s="29"/>
    </row>
    <row r="45" spans="1:7" ht="30" customHeight="1" x14ac:dyDescent="0.3">
      <c r="B45" s="29"/>
      <c r="C45" s="2">
        <f>IF(SUM($C$17:$C$42)&gt;0,SUM($C$17:$C$42),"")</f>
        <v>163200</v>
      </c>
      <c r="D45" s="1">
        <f>IF(ISNUMBER($H$6),SUM($D$17:$D$42),"")</f>
        <v>33</v>
      </c>
      <c r="E45" s="1">
        <f>IF(ISNUMBER($H$6),SUM($E$17:$E$42),"")</f>
        <v>8</v>
      </c>
      <c r="F45" s="3">
        <f>IF(ISNUMBER($H$6),SUM($F$17:$F$42),"")</f>
        <v>41</v>
      </c>
      <c r="G45" s="29"/>
    </row>
  </sheetData>
  <sheetProtection sheet="1" objects="1" scenarios="1"/>
  <conditionalFormatting sqref="C17:C42">
    <cfRule type="cellIs" dxfId="3" priority="1" stopIfTrue="1" operator="lessThan">
      <formula>0</formula>
    </cfRule>
  </conditionalFormatting>
  <pageMargins left="0.70000000000000007" right="0.70000000000000007" top="0.75000000000000011" bottom="0.75000000000000011" header="0.51180555555555507" footer="0.51180555555555507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37"/>
  <sheetViews>
    <sheetView topLeftCell="A22" workbookViewId="0"/>
  </sheetViews>
  <sheetFormatPr defaultColWidth="9.109375" defaultRowHeight="14.4" x14ac:dyDescent="0.3"/>
  <cols>
    <col min="1" max="27" width="10.6640625" style="28" customWidth="1"/>
    <col min="28" max="16384" width="9.109375" style="28"/>
  </cols>
  <sheetData>
    <row r="2" spans="1:27" ht="25.8" x14ac:dyDescent="0.5">
      <c r="B2" s="54" t="str">
        <f>Zetelverdeling!B2</f>
        <v>Controleblad - zetelverdeling bij 19 en meer zetels</v>
      </c>
    </row>
    <row r="3" spans="1:27" x14ac:dyDescent="0.3">
      <c r="B3" s="55" t="str">
        <f>Zetelverdeling!B3</f>
        <v>versie 2023-03-01</v>
      </c>
      <c r="F3" s="76"/>
      <c r="G3" s="76"/>
    </row>
    <row r="4" spans="1:27" x14ac:dyDescent="0.3">
      <c r="F4" s="76"/>
      <c r="G4" s="76"/>
    </row>
    <row r="5" spans="1:27" x14ac:dyDescent="0.3">
      <c r="D5" s="76"/>
      <c r="E5" s="76"/>
      <c r="F5" s="76"/>
      <c r="G5" s="76"/>
      <c r="J5" s="77">
        <f>Zetelverdeling!H9</f>
        <v>3980.4878048780488</v>
      </c>
      <c r="K5" s="86" t="s">
        <v>11</v>
      </c>
      <c r="L5" s="87"/>
    </row>
    <row r="6" spans="1:27" ht="21" x14ac:dyDescent="0.4">
      <c r="B6" s="20" t="s">
        <v>12</v>
      </c>
      <c r="C6" s="21"/>
      <c r="D6" s="22"/>
      <c r="E6" s="22"/>
      <c r="F6" s="23"/>
      <c r="G6" s="22"/>
      <c r="H6" s="24"/>
      <c r="J6" s="77">
        <f>Zetelverdeling!D7 - Zetelverdeling!D45</f>
        <v>8</v>
      </c>
      <c r="K6" s="78" t="s">
        <v>9</v>
      </c>
      <c r="L6" s="78"/>
    </row>
    <row r="7" spans="1:27" x14ac:dyDescent="0.3">
      <c r="B7" s="75"/>
      <c r="D7" s="76"/>
      <c r="E7" s="76"/>
      <c r="F7" s="76"/>
      <c r="G7" s="76"/>
    </row>
    <row r="9" spans="1:27" ht="95.1" customHeight="1" x14ac:dyDescent="0.3">
      <c r="A9" s="73"/>
      <c r="B9" s="74"/>
      <c r="C9" s="4" t="s">
        <v>7</v>
      </c>
      <c r="D9" s="5" t="s">
        <v>8</v>
      </c>
      <c r="E9" s="5" t="s">
        <v>9</v>
      </c>
      <c r="F9" s="5" t="s">
        <v>13</v>
      </c>
      <c r="G9" s="5" t="s">
        <v>14</v>
      </c>
      <c r="H9" s="79" t="s">
        <v>15</v>
      </c>
      <c r="I9" s="80" t="str">
        <f>IF(SUM(I10:I35)&gt;1,"LOTEN!!","")</f>
        <v/>
      </c>
      <c r="J9" s="70" t="s">
        <v>16</v>
      </c>
      <c r="K9" s="71" t="str">
        <f>IF(SUM(K10:K35)&gt;1,"LOTEN!!","")</f>
        <v/>
      </c>
      <c r="L9" s="79" t="s">
        <v>17</v>
      </c>
      <c r="M9" s="80" t="str">
        <f>IF(SUM(M10:M35)&gt;1,"LOTEN!!","")</f>
        <v/>
      </c>
      <c r="N9" s="70" t="s">
        <v>18</v>
      </c>
      <c r="O9" s="71" t="str">
        <f>IF(SUM(O10:O35)&gt;1,"LOTEN!!","")</f>
        <v/>
      </c>
      <c r="P9" s="79" t="s">
        <v>19</v>
      </c>
      <c r="Q9" s="80" t="str">
        <f>IF(SUM(Q10:Q35)&gt;1,"LOTEN!!","")</f>
        <v/>
      </c>
      <c r="R9" s="70" t="s">
        <v>20</v>
      </c>
      <c r="S9" s="71" t="str">
        <f>IF(SUM(S10:S35)&gt;1,"LOTEN!!","")</f>
        <v/>
      </c>
      <c r="T9" s="79" t="s">
        <v>21</v>
      </c>
      <c r="U9" s="80" t="str">
        <f>IF(SUM(U10:U35)&gt;1,"LOTEN!!","")</f>
        <v/>
      </c>
      <c r="V9" s="70" t="s">
        <v>22</v>
      </c>
      <c r="W9" s="71" t="str">
        <f>IF(SUM(W10:W35)&gt;1,"LOTEN!!","")</f>
        <v/>
      </c>
      <c r="X9" s="79" t="s">
        <v>23</v>
      </c>
      <c r="Y9" s="80" t="str">
        <f>IF(SUM(Y10:Y35)&gt;1,"LOTEN!!","")</f>
        <v/>
      </c>
      <c r="Z9" s="70" t="s">
        <v>24</v>
      </c>
      <c r="AA9" s="72" t="str">
        <f>IF(SUM(AA10:AA35)&gt;1,"LOTEN!!","")</f>
        <v/>
      </c>
    </row>
    <row r="10" spans="1:27" ht="20.100000000000001" customHeight="1" x14ac:dyDescent="0.3">
      <c r="A10" s="57">
        <v>1</v>
      </c>
      <c r="B10" s="58" t="str">
        <f>Zetelverdeling!B17</f>
        <v>Forum voor Democratie</v>
      </c>
      <c r="C10" s="59">
        <f>IF(AND(Zetelverdeling!C17&gt;0,ISNUMBER(Zetelverdeling!C17)),Zetelverdeling!C17,0)</f>
        <v>7343</v>
      </c>
      <c r="D10" s="59">
        <f t="shared" ref="D10:D35" si="0">ROUNDDOWN(C10/$J$5,0)</f>
        <v>1</v>
      </c>
      <c r="E10" s="59">
        <f t="shared" ref="E10:E35" si="1">_xlfn.NUMBERVALUE("0"&amp;I10)+_xlfn.NUMBERVALUE("0"&amp;K10)+_xlfn.NUMBERVALUE("0"&amp;M10)+_xlfn.NUMBERVALUE("0"&amp;O10)+_xlfn.NUMBERVALUE("0"&amp;Q10)+_xlfn.NUMBERVALUE("0"&amp;S10)+_xlfn.NUMBERVALUE("0"&amp;U10)+_xlfn.NUMBERVALUE("0"&amp;W10)+_xlfn.NUMBERVALUE("0"&amp;Y10)+_xlfn.NUMBERVALUE("0"&amp;AA10)</f>
        <v>1</v>
      </c>
      <c r="F10" s="59" t="str">
        <f t="shared" ref="F10:F35" si="2">IF(OR(I10="",K10="",M10="",O10="",Q10="",S10="",U10="",W10="",Y10="",AA10=""),"Loting","")</f>
        <v/>
      </c>
      <c r="G10" s="59">
        <f t="shared" ref="G10:G35" si="3">D10+E10</f>
        <v>2</v>
      </c>
      <c r="H10" s="81">
        <f t="shared" ref="H10:H35" si="4">C10/(D10+1)</f>
        <v>3671.5</v>
      </c>
      <c r="I10" s="81">
        <f t="shared" ref="I10:I35" si="5">IF($J$6-H$9&gt;=0,IF(AND($J$6-(H$9-1)-COUNTIF(H$10:H$35,MAX(H$10:H$35))&lt;0,H10=MAX(H$10:H$35)),"",IF(AND(H10=MAX(H$10:H$35),MATCH(H10,H$10:H$35,0)=ROW(H10)-ROW(H$10)+1),1,0)),0)</f>
        <v>0</v>
      </c>
      <c r="J10" s="60">
        <f t="shared" ref="J10:J35" si="6">C10/(D10+_xlfn.NUMBERVALUE("0"&amp;I10)+1)</f>
        <v>3671.5</v>
      </c>
      <c r="K10" s="60">
        <f t="shared" ref="K10:K35" si="7">IF($J$6-J$9&gt;=0,IF(AND($J$6-(J$9-1)-COUNTIF(J$10:J$35,MAX(J$10:J$35))&lt;0,J10=MAX(J$10:J$35)),"",IF(AND(J10=MAX(J$10:J$35),MATCH(J10,J$10:J$35,0)=ROW(J10)-ROW(J$10)+1),1,0)),0)</f>
        <v>0</v>
      </c>
      <c r="L10" s="81">
        <f t="shared" ref="L10:L35" si="8">C10/(D10+_xlfn.NUMBERVALUE("0"&amp;I10)+_xlfn.NUMBERVALUE("0"&amp;K10)+1)</f>
        <v>3671.5</v>
      </c>
      <c r="M10" s="81">
        <f t="shared" ref="M10:M35" si="9">IF($J$6-L$9&gt;=0,IF(AND($J$6-(L$9-1)-COUNTIF(L$10:L$35,MAX(L$10:L$35))&lt;0,L10=MAX(L$10:L$35)),"",IF(AND(L10=MAX(L$10:L$35),MATCH(L10,L$10:L$35,0)=ROW(L10)-ROW(L$10)+1),1,0)),0)</f>
        <v>0</v>
      </c>
      <c r="N10" s="60">
        <f t="shared" ref="N10:N35" si="10">C10/(D10+_xlfn.NUMBERVALUE("0"&amp;I10)+_xlfn.NUMBERVALUE("0"&amp;K10)+_xlfn.NUMBERVALUE("0"&amp;M10)+1)</f>
        <v>3671.5</v>
      </c>
      <c r="O10" s="60">
        <f t="shared" ref="O10:O35" si="11">IF($J$6-N$9&gt;=0,IF(AND($J$6-(N$9-1)-COUNTIF(N$10:N$35,MAX(N$10:N$35))&lt;0,N10=MAX(N$10:N$35)),"",IF(AND(N10=MAX(N$10:N$35),MATCH(N10,N$10:N$35,0)=ROW(N10)-ROW(N$10)+1),1,0)),0)</f>
        <v>0</v>
      </c>
      <c r="P10" s="81">
        <f t="shared" ref="P10:P35" si="12">C10/(D10+_xlfn.NUMBERVALUE("0"&amp;I10)+_xlfn.NUMBERVALUE("0"&amp;K10)+_xlfn.NUMBERVALUE("0"&amp;M10)+_xlfn.NUMBERVALUE("0"&amp;O10)+1)</f>
        <v>3671.5</v>
      </c>
      <c r="Q10" s="81">
        <f t="shared" ref="Q10:Q35" si="13">IF($J$6-P$9&gt;=0,IF(AND($J$6-(P$9-1)-COUNTIF(P$10:P$35,MAX(P$10:P$35))&lt;0,P10=MAX(P$10:P$35)),"",IF(AND(P10=MAX(P$10:P$35),MATCH(P10,P$10:P$35,0)=ROW(P10)-ROW(P$10)+1),1,0)),0)</f>
        <v>1</v>
      </c>
      <c r="R10" s="60">
        <f t="shared" ref="R10:R35" si="14">C10/(D10+_xlfn.NUMBERVALUE("0"&amp;I10)+_xlfn.NUMBERVALUE("0"&amp;K10)+_xlfn.NUMBERVALUE("0"&amp;M10)+_xlfn.NUMBERVALUE("0"&amp;O10)+_xlfn.NUMBERVALUE("0"&amp;Q10)+1)</f>
        <v>2447.6666666666665</v>
      </c>
      <c r="S10" s="60">
        <f t="shared" ref="S10:S35" si="15">IF($J$6-R$9&gt;=0,IF(AND($J$6-(R$9-1)-COUNTIF(R$10:R$35,MAX(R$10:R$35))&lt;0,R10=MAX(R$10:R$35)),"",IF(AND(R10=MAX(R$10:R$35),MATCH(R10,R$10:R$35,0)=ROW(R10)-ROW(R$10)+1),1,0)),0)</f>
        <v>0</v>
      </c>
      <c r="T10" s="81">
        <f t="shared" ref="T10:T35" si="16">C10/(D10+_xlfn.NUMBERVALUE("0"&amp;I10)+_xlfn.NUMBERVALUE("0"&amp;K10)+_xlfn.NUMBERVALUE("0"&amp;M10)+_xlfn.NUMBERVALUE("0"&amp;O10)+_xlfn.NUMBERVALUE("0"&amp;Q10)+_xlfn.NUMBERVALUE("0"&amp;S10)+1)</f>
        <v>2447.6666666666665</v>
      </c>
      <c r="U10" s="81">
        <f t="shared" ref="U10:U35" si="17">IF($J$6-T$9&gt;=0,IF(AND($J$6-(T$9-1)-COUNTIF(T$10:T$35,MAX(T$10:T$35))&lt;0,T10=MAX(T$10:T$35)),"",IF(AND(T10=MAX(T$10:T$35),MATCH(T10,T$10:T$35,0)=ROW(T10)-ROW(T$10)+1),1,0)),0)</f>
        <v>0</v>
      </c>
      <c r="V10" s="60">
        <f t="shared" ref="V10:V35" si="18">C10/(D10+_xlfn.NUMBERVALUE("0"&amp;I10)+_xlfn.NUMBERVALUE("0"&amp;K10)+_xlfn.NUMBERVALUE("0"&amp;M10)+_xlfn.NUMBERVALUE("0"&amp;O10)+_xlfn.NUMBERVALUE("0"&amp;Q10)+_xlfn.NUMBERVALUE("0"&amp;S10)+_xlfn.NUMBERVALUE("0"&amp;U10)+1)</f>
        <v>2447.6666666666665</v>
      </c>
      <c r="W10" s="60">
        <f t="shared" ref="W10:W35" si="19">IF($J$6-V$9&gt;=0,IF(AND($J$6-(V$9-1)-COUNTIF(V$10:V$35,MAX(V$10:V$35))&lt;0,V10=MAX(V$10:V$35)),"",IF(AND(V10=MAX(V$10:V$35),MATCH(V10,V$10:V$35,0)=ROW(V10)-ROW(V$10)+1),1,0)),0)</f>
        <v>0</v>
      </c>
      <c r="X10" s="81">
        <f t="shared" ref="X10:X35" si="20">C10/(D10+_xlfn.NUMBERVALUE("0"&amp;I10)+_xlfn.NUMBERVALUE("0"&amp;K10)+_xlfn.NUMBERVALUE("0"&amp;M10)+_xlfn.NUMBERVALUE("0"&amp;O10)+_xlfn.NUMBERVALUE("0"&amp;Q10)+_xlfn.NUMBERVALUE("0"&amp;S10)+_xlfn.NUMBERVALUE("0"&amp;U10)+_xlfn.NUMBERVALUE("0"&amp;W10)+1)</f>
        <v>2447.6666666666665</v>
      </c>
      <c r="Y10" s="81">
        <f t="shared" ref="Y10:Y35" si="21">IF($J$6-X$9&gt;=0,IF(AND($J$6-(X$9-1)-COUNTIF(X$10:X$35,MAX(X$10:X$35))&lt;0,X10=MAX(X$10:X$35)),"",IF(AND(X10=MAX(X$10:X$35),MATCH(X10,X$10:X$35,0)=ROW(X10)-ROW(X$10)+1),1,0)),0)</f>
        <v>0</v>
      </c>
      <c r="Z10" s="60">
        <f t="shared" ref="Z10:Z35" si="22">C10/(D10+_xlfn.NUMBERVALUE("0"&amp;I10)+_xlfn.NUMBERVALUE("0"&amp;K10)+_xlfn.NUMBERVALUE("0"&amp;M10)+_xlfn.NUMBERVALUE("0"&amp;O10)+_xlfn.NUMBERVALUE("0"&amp;Q10)+_xlfn.NUMBERVALUE("0"&amp;S10)+_xlfn.NUMBERVALUE("0"&amp;U10)+_xlfn.NUMBERVALUE("0"&amp;W10)+_xlfn.NUMBERVALUE("0"&amp;Y10)+1)</f>
        <v>2447.6666666666665</v>
      </c>
      <c r="AA10" s="61">
        <f t="shared" ref="AA10:AA35" si="23">IF($J$6-Z$9&gt;=0,IF(AND($J$6-(Z$9-1)-COUNTIF(Z$10:Z$35,MAX(Z$10:Z$35))&lt;0,Z10=MAX(Z$10:Z$35)),"",IF(AND(Z10=MAX(Z$10:Z$35),MATCH(Z10,Z$10:Z$35,0)=ROW(Z10)-ROW(Z$10)+1),1,0)),0)</f>
        <v>0</v>
      </c>
    </row>
    <row r="11" spans="1:27" ht="20.100000000000001" customHeight="1" x14ac:dyDescent="0.3">
      <c r="A11" s="57">
        <v>2</v>
      </c>
      <c r="B11" s="58" t="str">
        <f>Zetelverdeling!B18</f>
        <v>VVD</v>
      </c>
      <c r="C11" s="59">
        <f>IF(AND(Zetelverdeling!C18&gt;0,ISNUMBER(Zetelverdeling!C18)),Zetelverdeling!C18,0)</f>
        <v>16321</v>
      </c>
      <c r="D11" s="59">
        <f t="shared" si="0"/>
        <v>4</v>
      </c>
      <c r="E11" s="59">
        <f t="shared" si="1"/>
        <v>0</v>
      </c>
      <c r="F11" s="59" t="str">
        <f t="shared" si="2"/>
        <v/>
      </c>
      <c r="G11" s="59">
        <f t="shared" si="3"/>
        <v>4</v>
      </c>
      <c r="H11" s="81">
        <f t="shared" si="4"/>
        <v>3264.2</v>
      </c>
      <c r="I11" s="81">
        <f t="shared" si="5"/>
        <v>0</v>
      </c>
      <c r="J11" s="60">
        <f t="shared" si="6"/>
        <v>3264.2</v>
      </c>
      <c r="K11" s="60">
        <f t="shared" si="7"/>
        <v>0</v>
      </c>
      <c r="L11" s="81">
        <f t="shared" si="8"/>
        <v>3264.2</v>
      </c>
      <c r="M11" s="81">
        <f t="shared" si="9"/>
        <v>0</v>
      </c>
      <c r="N11" s="60">
        <f t="shared" si="10"/>
        <v>3264.2</v>
      </c>
      <c r="O11" s="60">
        <f t="shared" si="11"/>
        <v>0</v>
      </c>
      <c r="P11" s="81">
        <f t="shared" si="12"/>
        <v>3264.2</v>
      </c>
      <c r="Q11" s="81">
        <f t="shared" si="13"/>
        <v>0</v>
      </c>
      <c r="R11" s="60">
        <f t="shared" si="14"/>
        <v>3264.2</v>
      </c>
      <c r="S11" s="60">
        <f t="shared" si="15"/>
        <v>0</v>
      </c>
      <c r="T11" s="81">
        <f t="shared" si="16"/>
        <v>3264.2</v>
      </c>
      <c r="U11" s="81">
        <f t="shared" si="17"/>
        <v>0</v>
      </c>
      <c r="V11" s="60">
        <f t="shared" si="18"/>
        <v>3264.2</v>
      </c>
      <c r="W11" s="60">
        <f t="shared" si="19"/>
        <v>0</v>
      </c>
      <c r="X11" s="81">
        <f t="shared" si="20"/>
        <v>3264.2</v>
      </c>
      <c r="Y11" s="81">
        <f t="shared" si="21"/>
        <v>0</v>
      </c>
      <c r="Z11" s="60">
        <f t="shared" si="22"/>
        <v>3264.2</v>
      </c>
      <c r="AA11" s="61">
        <f t="shared" si="23"/>
        <v>0</v>
      </c>
    </row>
    <row r="12" spans="1:27" ht="20.100000000000001" customHeight="1" x14ac:dyDescent="0.3">
      <c r="A12" s="57">
        <v>3</v>
      </c>
      <c r="B12" s="58" t="str">
        <f>Zetelverdeling!B19</f>
        <v>PVV (Partij voor de Vrijheid)</v>
      </c>
      <c r="C12" s="59">
        <f>IF(AND(Zetelverdeling!C19&gt;0,ISNUMBER(Zetelverdeling!C19)),Zetelverdeling!C19,0)</f>
        <v>12474</v>
      </c>
      <c r="D12" s="59">
        <f t="shared" si="0"/>
        <v>3</v>
      </c>
      <c r="E12" s="59">
        <f t="shared" si="1"/>
        <v>0</v>
      </c>
      <c r="F12" s="59" t="str">
        <f t="shared" si="2"/>
        <v/>
      </c>
      <c r="G12" s="59">
        <f t="shared" si="3"/>
        <v>3</v>
      </c>
      <c r="H12" s="81">
        <f t="shared" si="4"/>
        <v>3118.5</v>
      </c>
      <c r="I12" s="81">
        <f t="shared" si="5"/>
        <v>0</v>
      </c>
      <c r="J12" s="60">
        <f t="shared" si="6"/>
        <v>3118.5</v>
      </c>
      <c r="K12" s="60">
        <f t="shared" si="7"/>
        <v>0</v>
      </c>
      <c r="L12" s="81">
        <f t="shared" si="8"/>
        <v>3118.5</v>
      </c>
      <c r="M12" s="81">
        <f t="shared" si="9"/>
        <v>0</v>
      </c>
      <c r="N12" s="60">
        <f t="shared" si="10"/>
        <v>3118.5</v>
      </c>
      <c r="O12" s="60">
        <f t="shared" si="11"/>
        <v>0</v>
      </c>
      <c r="P12" s="81">
        <f t="shared" si="12"/>
        <v>3118.5</v>
      </c>
      <c r="Q12" s="81">
        <f t="shared" si="13"/>
        <v>0</v>
      </c>
      <c r="R12" s="60">
        <f t="shared" si="14"/>
        <v>3118.5</v>
      </c>
      <c r="S12" s="60">
        <f t="shared" si="15"/>
        <v>0</v>
      </c>
      <c r="T12" s="81">
        <f t="shared" si="16"/>
        <v>3118.5</v>
      </c>
      <c r="U12" s="81">
        <f t="shared" si="17"/>
        <v>0</v>
      </c>
      <c r="V12" s="60">
        <f t="shared" si="18"/>
        <v>3118.5</v>
      </c>
      <c r="W12" s="60">
        <f t="shared" si="19"/>
        <v>0</v>
      </c>
      <c r="X12" s="81">
        <f t="shared" si="20"/>
        <v>3118.5</v>
      </c>
      <c r="Y12" s="81">
        <f t="shared" si="21"/>
        <v>0</v>
      </c>
      <c r="Z12" s="60">
        <f t="shared" si="22"/>
        <v>3118.5</v>
      </c>
      <c r="AA12" s="61">
        <f t="shared" si="23"/>
        <v>0</v>
      </c>
    </row>
    <row r="13" spans="1:27" ht="20.100000000000001" customHeight="1" x14ac:dyDescent="0.3">
      <c r="A13" s="57">
        <v>4</v>
      </c>
      <c r="B13" s="58" t="str">
        <f>Zetelverdeling!B20</f>
        <v>GROENLINKS</v>
      </c>
      <c r="C13" s="59">
        <f>IF(AND(Zetelverdeling!C20&gt;0,ISNUMBER(Zetelverdeling!C20)),Zetelverdeling!C20,0)</f>
        <v>11239</v>
      </c>
      <c r="D13" s="59">
        <f t="shared" si="0"/>
        <v>2</v>
      </c>
      <c r="E13" s="59">
        <f t="shared" si="1"/>
        <v>1</v>
      </c>
      <c r="F13" s="59" t="str">
        <f t="shared" si="2"/>
        <v/>
      </c>
      <c r="G13" s="59">
        <f t="shared" si="3"/>
        <v>3</v>
      </c>
      <c r="H13" s="81">
        <f t="shared" si="4"/>
        <v>3746.3333333333335</v>
      </c>
      <c r="I13" s="81">
        <f t="shared" si="5"/>
        <v>0</v>
      </c>
      <c r="J13" s="60">
        <f t="shared" si="6"/>
        <v>3746.3333333333335</v>
      </c>
      <c r="K13" s="60">
        <f t="shared" si="7"/>
        <v>0</v>
      </c>
      <c r="L13" s="81">
        <f t="shared" si="8"/>
        <v>3746.3333333333335</v>
      </c>
      <c r="M13" s="81">
        <f t="shared" si="9"/>
        <v>1</v>
      </c>
      <c r="N13" s="60">
        <f t="shared" si="10"/>
        <v>2809.75</v>
      </c>
      <c r="O13" s="60">
        <f t="shared" si="11"/>
        <v>0</v>
      </c>
      <c r="P13" s="81">
        <f t="shared" si="12"/>
        <v>2809.75</v>
      </c>
      <c r="Q13" s="81">
        <f t="shared" si="13"/>
        <v>0</v>
      </c>
      <c r="R13" s="60">
        <f t="shared" si="14"/>
        <v>2809.75</v>
      </c>
      <c r="S13" s="60">
        <f t="shared" si="15"/>
        <v>0</v>
      </c>
      <c r="T13" s="81">
        <f t="shared" si="16"/>
        <v>2809.75</v>
      </c>
      <c r="U13" s="81">
        <f t="shared" si="17"/>
        <v>0</v>
      </c>
      <c r="V13" s="60">
        <f t="shared" si="18"/>
        <v>2809.75</v>
      </c>
      <c r="W13" s="60">
        <f t="shared" si="19"/>
        <v>0</v>
      </c>
      <c r="X13" s="81">
        <f t="shared" si="20"/>
        <v>2809.75</v>
      </c>
      <c r="Y13" s="81">
        <f t="shared" si="21"/>
        <v>0</v>
      </c>
      <c r="Z13" s="60">
        <f t="shared" si="22"/>
        <v>2809.75</v>
      </c>
      <c r="AA13" s="61">
        <f t="shared" si="23"/>
        <v>0</v>
      </c>
    </row>
    <row r="14" spans="1:27" ht="20.100000000000001" customHeight="1" x14ac:dyDescent="0.3">
      <c r="A14" s="57">
        <v>5</v>
      </c>
      <c r="B14" s="58" t="str">
        <f>Zetelverdeling!B21</f>
        <v>CDA</v>
      </c>
      <c r="C14" s="59">
        <f>IF(AND(Zetelverdeling!C21&gt;0,ISNUMBER(Zetelverdeling!C21)),Zetelverdeling!C21,0)</f>
        <v>8277</v>
      </c>
      <c r="D14" s="59">
        <f t="shared" si="0"/>
        <v>2</v>
      </c>
      <c r="E14" s="59">
        <f t="shared" si="1"/>
        <v>0</v>
      </c>
      <c r="F14" s="59" t="str">
        <f t="shared" si="2"/>
        <v/>
      </c>
      <c r="G14" s="59">
        <f t="shared" si="3"/>
        <v>2</v>
      </c>
      <c r="H14" s="81">
        <f t="shared" si="4"/>
        <v>2759</v>
      </c>
      <c r="I14" s="81">
        <f t="shared" si="5"/>
        <v>0</v>
      </c>
      <c r="J14" s="60">
        <f t="shared" si="6"/>
        <v>2759</v>
      </c>
      <c r="K14" s="60">
        <f t="shared" si="7"/>
        <v>0</v>
      </c>
      <c r="L14" s="81">
        <f t="shared" si="8"/>
        <v>2759</v>
      </c>
      <c r="M14" s="81">
        <f t="shared" si="9"/>
        <v>0</v>
      </c>
      <c r="N14" s="60">
        <f t="shared" si="10"/>
        <v>2759</v>
      </c>
      <c r="O14" s="60">
        <f t="shared" si="11"/>
        <v>0</v>
      </c>
      <c r="P14" s="81">
        <f t="shared" si="12"/>
        <v>2759</v>
      </c>
      <c r="Q14" s="81">
        <f t="shared" si="13"/>
        <v>0</v>
      </c>
      <c r="R14" s="60">
        <f t="shared" si="14"/>
        <v>2759</v>
      </c>
      <c r="S14" s="60">
        <f t="shared" si="15"/>
        <v>0</v>
      </c>
      <c r="T14" s="81">
        <f t="shared" si="16"/>
        <v>2759</v>
      </c>
      <c r="U14" s="81">
        <f t="shared" si="17"/>
        <v>0</v>
      </c>
      <c r="V14" s="60">
        <f t="shared" si="18"/>
        <v>2759</v>
      </c>
      <c r="W14" s="60">
        <f t="shared" si="19"/>
        <v>0</v>
      </c>
      <c r="X14" s="81">
        <f t="shared" si="20"/>
        <v>2759</v>
      </c>
      <c r="Y14" s="81">
        <f t="shared" si="21"/>
        <v>0</v>
      </c>
      <c r="Z14" s="60">
        <f t="shared" si="22"/>
        <v>2759</v>
      </c>
      <c r="AA14" s="61">
        <f t="shared" si="23"/>
        <v>0</v>
      </c>
    </row>
    <row r="15" spans="1:27" ht="20.100000000000001" customHeight="1" x14ac:dyDescent="0.3">
      <c r="A15" s="57">
        <v>6</v>
      </c>
      <c r="B15" s="58" t="str">
        <f>Zetelverdeling!B22</f>
        <v>Partij van de Arbeid (P.v.d.A.)</v>
      </c>
      <c r="C15" s="59">
        <f>IF(AND(Zetelverdeling!C22&gt;0,ISNUMBER(Zetelverdeling!C22)),Zetelverdeling!C22,0)</f>
        <v>12391</v>
      </c>
      <c r="D15" s="59">
        <f t="shared" si="0"/>
        <v>3</v>
      </c>
      <c r="E15" s="59">
        <f t="shared" si="1"/>
        <v>0</v>
      </c>
      <c r="F15" s="59" t="str">
        <f t="shared" si="2"/>
        <v/>
      </c>
      <c r="G15" s="59">
        <f t="shared" si="3"/>
        <v>3</v>
      </c>
      <c r="H15" s="81">
        <f t="shared" si="4"/>
        <v>3097.75</v>
      </c>
      <c r="I15" s="81">
        <f t="shared" si="5"/>
        <v>0</v>
      </c>
      <c r="J15" s="60">
        <f t="shared" si="6"/>
        <v>3097.75</v>
      </c>
      <c r="K15" s="60">
        <f t="shared" si="7"/>
        <v>0</v>
      </c>
      <c r="L15" s="81">
        <f t="shared" si="8"/>
        <v>3097.75</v>
      </c>
      <c r="M15" s="81">
        <f t="shared" si="9"/>
        <v>0</v>
      </c>
      <c r="N15" s="60">
        <f t="shared" si="10"/>
        <v>3097.75</v>
      </c>
      <c r="O15" s="60">
        <f t="shared" si="11"/>
        <v>0</v>
      </c>
      <c r="P15" s="81">
        <f t="shared" si="12"/>
        <v>3097.75</v>
      </c>
      <c r="Q15" s="81">
        <f t="shared" si="13"/>
        <v>0</v>
      </c>
      <c r="R15" s="60">
        <f t="shared" si="14"/>
        <v>3097.75</v>
      </c>
      <c r="S15" s="60">
        <f t="shared" si="15"/>
        <v>0</v>
      </c>
      <c r="T15" s="81">
        <f t="shared" si="16"/>
        <v>3097.75</v>
      </c>
      <c r="U15" s="81">
        <f t="shared" si="17"/>
        <v>0</v>
      </c>
      <c r="V15" s="60">
        <f t="shared" si="18"/>
        <v>3097.75</v>
      </c>
      <c r="W15" s="60">
        <f t="shared" si="19"/>
        <v>0</v>
      </c>
      <c r="X15" s="81">
        <f t="shared" si="20"/>
        <v>3097.75</v>
      </c>
      <c r="Y15" s="81">
        <f t="shared" si="21"/>
        <v>0</v>
      </c>
      <c r="Z15" s="60">
        <f t="shared" si="22"/>
        <v>3097.75</v>
      </c>
      <c r="AA15" s="61">
        <f t="shared" si="23"/>
        <v>0</v>
      </c>
    </row>
    <row r="16" spans="1:27" ht="20.100000000000001" customHeight="1" x14ac:dyDescent="0.3">
      <c r="A16" s="57">
        <v>7</v>
      </c>
      <c r="B16" s="58" t="str">
        <f>Zetelverdeling!B23</f>
        <v>ChristenUnie</v>
      </c>
      <c r="C16" s="59">
        <f>IF(AND(Zetelverdeling!C23&gt;0,ISNUMBER(Zetelverdeling!C23)),Zetelverdeling!C23,0)</f>
        <v>9620</v>
      </c>
      <c r="D16" s="59">
        <f t="shared" si="0"/>
        <v>2</v>
      </c>
      <c r="E16" s="59">
        <f t="shared" si="1"/>
        <v>0</v>
      </c>
      <c r="F16" s="59" t="str">
        <f t="shared" si="2"/>
        <v/>
      </c>
      <c r="G16" s="59">
        <f t="shared" si="3"/>
        <v>2</v>
      </c>
      <c r="H16" s="81">
        <f t="shared" si="4"/>
        <v>3206.6666666666665</v>
      </c>
      <c r="I16" s="81">
        <f t="shared" si="5"/>
        <v>0</v>
      </c>
      <c r="J16" s="60">
        <f t="shared" si="6"/>
        <v>3206.6666666666665</v>
      </c>
      <c r="K16" s="60">
        <f t="shared" si="7"/>
        <v>0</v>
      </c>
      <c r="L16" s="81">
        <f t="shared" si="8"/>
        <v>3206.6666666666665</v>
      </c>
      <c r="M16" s="81">
        <f t="shared" si="9"/>
        <v>0</v>
      </c>
      <c r="N16" s="60">
        <f t="shared" si="10"/>
        <v>3206.6666666666665</v>
      </c>
      <c r="O16" s="60">
        <f t="shared" si="11"/>
        <v>0</v>
      </c>
      <c r="P16" s="81">
        <f t="shared" si="12"/>
        <v>3206.6666666666665</v>
      </c>
      <c r="Q16" s="81">
        <f t="shared" si="13"/>
        <v>0</v>
      </c>
      <c r="R16" s="60">
        <f t="shared" si="14"/>
        <v>3206.6666666666665</v>
      </c>
      <c r="S16" s="60">
        <f t="shared" si="15"/>
        <v>0</v>
      </c>
      <c r="T16" s="81">
        <f t="shared" si="16"/>
        <v>3206.6666666666665</v>
      </c>
      <c r="U16" s="81">
        <f t="shared" si="17"/>
        <v>0</v>
      </c>
      <c r="V16" s="60">
        <f t="shared" si="18"/>
        <v>3206.6666666666665</v>
      </c>
      <c r="W16" s="60">
        <f t="shared" si="19"/>
        <v>0</v>
      </c>
      <c r="X16" s="81">
        <f t="shared" si="20"/>
        <v>3206.6666666666665</v>
      </c>
      <c r="Y16" s="81">
        <f t="shared" si="21"/>
        <v>0</v>
      </c>
      <c r="Z16" s="60">
        <f t="shared" si="22"/>
        <v>3206.6666666666665</v>
      </c>
      <c r="AA16" s="61">
        <f t="shared" si="23"/>
        <v>0</v>
      </c>
    </row>
    <row r="17" spans="1:27" ht="20.100000000000001" customHeight="1" x14ac:dyDescent="0.3">
      <c r="A17" s="57">
        <v>8</v>
      </c>
      <c r="B17" s="58" t="str">
        <f>Zetelverdeling!B24</f>
        <v>SP (Socialistische Partij)</v>
      </c>
      <c r="C17" s="59">
        <f>IF(AND(Zetelverdeling!C24&gt;0,ISNUMBER(Zetelverdeling!C24)),Zetelverdeling!C24,0)</f>
        <v>6915</v>
      </c>
      <c r="D17" s="59">
        <f t="shared" si="0"/>
        <v>1</v>
      </c>
      <c r="E17" s="59">
        <f t="shared" si="1"/>
        <v>1</v>
      </c>
      <c r="F17" s="59" t="str">
        <f t="shared" si="2"/>
        <v/>
      </c>
      <c r="G17" s="59">
        <f t="shared" si="3"/>
        <v>2</v>
      </c>
      <c r="H17" s="81">
        <f t="shared" si="4"/>
        <v>3457.5</v>
      </c>
      <c r="I17" s="81">
        <f t="shared" si="5"/>
        <v>0</v>
      </c>
      <c r="J17" s="60">
        <f t="shared" si="6"/>
        <v>3457.5</v>
      </c>
      <c r="K17" s="60">
        <f t="shared" si="7"/>
        <v>0</v>
      </c>
      <c r="L17" s="81">
        <f t="shared" si="8"/>
        <v>3457.5</v>
      </c>
      <c r="M17" s="81">
        <f t="shared" si="9"/>
        <v>0</v>
      </c>
      <c r="N17" s="60">
        <f t="shared" si="10"/>
        <v>3457.5</v>
      </c>
      <c r="O17" s="60">
        <f t="shared" si="11"/>
        <v>0</v>
      </c>
      <c r="P17" s="81">
        <f t="shared" si="12"/>
        <v>3457.5</v>
      </c>
      <c r="Q17" s="81">
        <f t="shared" si="13"/>
        <v>0</v>
      </c>
      <c r="R17" s="60">
        <f t="shared" si="14"/>
        <v>3457.5</v>
      </c>
      <c r="S17" s="60">
        <f t="shared" si="15"/>
        <v>1</v>
      </c>
      <c r="T17" s="81">
        <f t="shared" si="16"/>
        <v>2305</v>
      </c>
      <c r="U17" s="81">
        <f t="shared" si="17"/>
        <v>0</v>
      </c>
      <c r="V17" s="60">
        <f t="shared" si="18"/>
        <v>2305</v>
      </c>
      <c r="W17" s="60">
        <f t="shared" si="19"/>
        <v>0</v>
      </c>
      <c r="X17" s="81">
        <f t="shared" si="20"/>
        <v>2305</v>
      </c>
      <c r="Y17" s="81">
        <f t="shared" si="21"/>
        <v>0</v>
      </c>
      <c r="Z17" s="60">
        <f t="shared" si="22"/>
        <v>2305</v>
      </c>
      <c r="AA17" s="61">
        <f t="shared" si="23"/>
        <v>0</v>
      </c>
    </row>
    <row r="18" spans="1:27" ht="20.100000000000001" customHeight="1" x14ac:dyDescent="0.3">
      <c r="A18" s="57">
        <v>9</v>
      </c>
      <c r="B18" s="58" t="str">
        <f>Zetelverdeling!B25</f>
        <v>50PLUS</v>
      </c>
      <c r="C18" s="59">
        <f>IF(AND(Zetelverdeling!C25&gt;0,ISNUMBER(Zetelverdeling!C25)),Zetelverdeling!C25,0)</f>
        <v>4048</v>
      </c>
      <c r="D18" s="59">
        <f t="shared" si="0"/>
        <v>1</v>
      </c>
      <c r="E18" s="59">
        <f t="shared" si="1"/>
        <v>0</v>
      </c>
      <c r="F18" s="59" t="str">
        <f t="shared" si="2"/>
        <v/>
      </c>
      <c r="G18" s="59">
        <f t="shared" si="3"/>
        <v>1</v>
      </c>
      <c r="H18" s="81">
        <f t="shared" si="4"/>
        <v>2024</v>
      </c>
      <c r="I18" s="81">
        <f t="shared" si="5"/>
        <v>0</v>
      </c>
      <c r="J18" s="60">
        <f t="shared" si="6"/>
        <v>2024</v>
      </c>
      <c r="K18" s="60">
        <f t="shared" si="7"/>
        <v>0</v>
      </c>
      <c r="L18" s="81">
        <f t="shared" si="8"/>
        <v>2024</v>
      </c>
      <c r="M18" s="81">
        <f t="shared" si="9"/>
        <v>0</v>
      </c>
      <c r="N18" s="60">
        <f t="shared" si="10"/>
        <v>2024</v>
      </c>
      <c r="O18" s="60">
        <f t="shared" si="11"/>
        <v>0</v>
      </c>
      <c r="P18" s="81">
        <f t="shared" si="12"/>
        <v>2024</v>
      </c>
      <c r="Q18" s="81">
        <f t="shared" si="13"/>
        <v>0</v>
      </c>
      <c r="R18" s="60">
        <f t="shared" si="14"/>
        <v>2024</v>
      </c>
      <c r="S18" s="60">
        <f t="shared" si="15"/>
        <v>0</v>
      </c>
      <c r="T18" s="81">
        <f t="shared" si="16"/>
        <v>2024</v>
      </c>
      <c r="U18" s="81">
        <f t="shared" si="17"/>
        <v>0</v>
      </c>
      <c r="V18" s="60">
        <f t="shared" si="18"/>
        <v>2024</v>
      </c>
      <c r="W18" s="60">
        <f t="shared" si="19"/>
        <v>0</v>
      </c>
      <c r="X18" s="81">
        <f t="shared" si="20"/>
        <v>2024</v>
      </c>
      <c r="Y18" s="81">
        <f t="shared" si="21"/>
        <v>0</v>
      </c>
      <c r="Z18" s="60">
        <f t="shared" si="22"/>
        <v>2024</v>
      </c>
      <c r="AA18" s="61">
        <f t="shared" si="23"/>
        <v>0</v>
      </c>
    </row>
    <row r="19" spans="1:27" ht="20.100000000000001" customHeight="1" x14ac:dyDescent="0.3">
      <c r="A19" s="57">
        <v>10</v>
      </c>
      <c r="B19" s="58" t="str">
        <f>Zetelverdeling!B26</f>
        <v>D66</v>
      </c>
      <c r="C19" s="59">
        <f>IF(AND(Zetelverdeling!C26&gt;0,ISNUMBER(Zetelverdeling!C26)),Zetelverdeling!C26,0)</f>
        <v>9255</v>
      </c>
      <c r="D19" s="59">
        <f t="shared" si="0"/>
        <v>2</v>
      </c>
      <c r="E19" s="59">
        <f t="shared" si="1"/>
        <v>0</v>
      </c>
      <c r="F19" s="59" t="str">
        <f t="shared" si="2"/>
        <v/>
      </c>
      <c r="G19" s="59">
        <f t="shared" si="3"/>
        <v>2</v>
      </c>
      <c r="H19" s="81">
        <f t="shared" si="4"/>
        <v>3085</v>
      </c>
      <c r="I19" s="81">
        <f t="shared" si="5"/>
        <v>0</v>
      </c>
      <c r="J19" s="60">
        <f t="shared" si="6"/>
        <v>3085</v>
      </c>
      <c r="K19" s="60">
        <f t="shared" si="7"/>
        <v>0</v>
      </c>
      <c r="L19" s="81">
        <f t="shared" si="8"/>
        <v>3085</v>
      </c>
      <c r="M19" s="81">
        <f t="shared" si="9"/>
        <v>0</v>
      </c>
      <c r="N19" s="60">
        <f t="shared" si="10"/>
        <v>3085</v>
      </c>
      <c r="O19" s="60">
        <f t="shared" si="11"/>
        <v>0</v>
      </c>
      <c r="P19" s="81">
        <f t="shared" si="12"/>
        <v>3085</v>
      </c>
      <c r="Q19" s="81">
        <f t="shared" si="13"/>
        <v>0</v>
      </c>
      <c r="R19" s="60">
        <f t="shared" si="14"/>
        <v>3085</v>
      </c>
      <c r="S19" s="60">
        <f t="shared" si="15"/>
        <v>0</v>
      </c>
      <c r="T19" s="81">
        <f t="shared" si="16"/>
        <v>3085</v>
      </c>
      <c r="U19" s="81">
        <f t="shared" si="17"/>
        <v>0</v>
      </c>
      <c r="V19" s="60">
        <f t="shared" si="18"/>
        <v>3085</v>
      </c>
      <c r="W19" s="60">
        <f t="shared" si="19"/>
        <v>0</v>
      </c>
      <c r="X19" s="81">
        <f t="shared" si="20"/>
        <v>3085</v>
      </c>
      <c r="Y19" s="81">
        <f t="shared" si="21"/>
        <v>0</v>
      </c>
      <c r="Z19" s="60">
        <f t="shared" si="22"/>
        <v>3085</v>
      </c>
      <c r="AA19" s="61">
        <f t="shared" si="23"/>
        <v>0</v>
      </c>
    </row>
    <row r="20" spans="1:27" ht="20.100000000000001" customHeight="1" x14ac:dyDescent="0.3">
      <c r="A20" s="57">
        <v>11</v>
      </c>
      <c r="B20" s="58" t="str">
        <f>Zetelverdeling!B27</f>
        <v>Partij voor de Dieren</v>
      </c>
      <c r="C20" s="59">
        <f>IF(AND(Zetelverdeling!C27&gt;0,ISNUMBER(Zetelverdeling!C27)),Zetelverdeling!C27,0)</f>
        <v>7423</v>
      </c>
      <c r="D20" s="59">
        <f t="shared" si="0"/>
        <v>1</v>
      </c>
      <c r="E20" s="59">
        <f t="shared" si="1"/>
        <v>1</v>
      </c>
      <c r="F20" s="59" t="str">
        <f t="shared" si="2"/>
        <v/>
      </c>
      <c r="G20" s="59">
        <f t="shared" si="3"/>
        <v>2</v>
      </c>
      <c r="H20" s="81">
        <f t="shared" si="4"/>
        <v>3711.5</v>
      </c>
      <c r="I20" s="81">
        <f t="shared" si="5"/>
        <v>0</v>
      </c>
      <c r="J20" s="60">
        <f t="shared" si="6"/>
        <v>3711.5</v>
      </c>
      <c r="K20" s="60">
        <f t="shared" si="7"/>
        <v>0</v>
      </c>
      <c r="L20" s="81">
        <f t="shared" si="8"/>
        <v>3711.5</v>
      </c>
      <c r="M20" s="81">
        <f t="shared" si="9"/>
        <v>0</v>
      </c>
      <c r="N20" s="60">
        <f t="shared" si="10"/>
        <v>3711.5</v>
      </c>
      <c r="O20" s="60">
        <f t="shared" si="11"/>
        <v>1</v>
      </c>
      <c r="P20" s="81">
        <f t="shared" si="12"/>
        <v>2474.3333333333335</v>
      </c>
      <c r="Q20" s="81">
        <f t="shared" si="13"/>
        <v>0</v>
      </c>
      <c r="R20" s="60">
        <f t="shared" si="14"/>
        <v>2474.3333333333335</v>
      </c>
      <c r="S20" s="60">
        <f t="shared" si="15"/>
        <v>0</v>
      </c>
      <c r="T20" s="81">
        <f t="shared" si="16"/>
        <v>2474.3333333333335</v>
      </c>
      <c r="U20" s="81">
        <f t="shared" si="17"/>
        <v>0</v>
      </c>
      <c r="V20" s="60">
        <f t="shared" si="18"/>
        <v>2474.3333333333335</v>
      </c>
      <c r="W20" s="60">
        <f t="shared" si="19"/>
        <v>0</v>
      </c>
      <c r="X20" s="81">
        <f t="shared" si="20"/>
        <v>2474.3333333333335</v>
      </c>
      <c r="Y20" s="81">
        <f t="shared" si="21"/>
        <v>0</v>
      </c>
      <c r="Z20" s="60">
        <f t="shared" si="22"/>
        <v>2474.3333333333335</v>
      </c>
      <c r="AA20" s="61">
        <f t="shared" si="23"/>
        <v>0</v>
      </c>
    </row>
    <row r="21" spans="1:27" ht="20.100000000000001" customHeight="1" x14ac:dyDescent="0.3">
      <c r="A21" s="57">
        <v>12</v>
      </c>
      <c r="B21" s="58" t="str">
        <f>Zetelverdeling!B28</f>
        <v>Staatkundig Gereformeerde Partij (SGP)</v>
      </c>
      <c r="C21" s="59">
        <f>IF(AND(Zetelverdeling!C28&gt;0,ISNUMBER(Zetelverdeling!C28)),Zetelverdeling!C28,0)</f>
        <v>6835</v>
      </c>
      <c r="D21" s="59">
        <f t="shared" si="0"/>
        <v>1</v>
      </c>
      <c r="E21" s="59">
        <f t="shared" si="1"/>
        <v>1</v>
      </c>
      <c r="F21" s="59" t="str">
        <f t="shared" si="2"/>
        <v/>
      </c>
      <c r="G21" s="59">
        <f t="shared" si="3"/>
        <v>2</v>
      </c>
      <c r="H21" s="81">
        <f t="shared" si="4"/>
        <v>3417.5</v>
      </c>
      <c r="I21" s="81">
        <f t="shared" si="5"/>
        <v>0</v>
      </c>
      <c r="J21" s="60">
        <f t="shared" si="6"/>
        <v>3417.5</v>
      </c>
      <c r="K21" s="60">
        <f t="shared" si="7"/>
        <v>0</v>
      </c>
      <c r="L21" s="81">
        <f t="shared" si="8"/>
        <v>3417.5</v>
      </c>
      <c r="M21" s="81">
        <f t="shared" si="9"/>
        <v>0</v>
      </c>
      <c r="N21" s="60">
        <f t="shared" si="10"/>
        <v>3417.5</v>
      </c>
      <c r="O21" s="60">
        <f t="shared" si="11"/>
        <v>0</v>
      </c>
      <c r="P21" s="81">
        <f t="shared" si="12"/>
        <v>3417.5</v>
      </c>
      <c r="Q21" s="81">
        <f t="shared" si="13"/>
        <v>0</v>
      </c>
      <c r="R21" s="60">
        <f t="shared" si="14"/>
        <v>3417.5</v>
      </c>
      <c r="S21" s="60">
        <f t="shared" si="15"/>
        <v>0</v>
      </c>
      <c r="T21" s="81">
        <f t="shared" si="16"/>
        <v>3417.5</v>
      </c>
      <c r="U21" s="81">
        <f t="shared" si="17"/>
        <v>1</v>
      </c>
      <c r="V21" s="60">
        <f t="shared" si="18"/>
        <v>2278.3333333333335</v>
      </c>
      <c r="W21" s="60">
        <f t="shared" si="19"/>
        <v>0</v>
      </c>
      <c r="X21" s="81">
        <f t="shared" si="20"/>
        <v>2278.3333333333335</v>
      </c>
      <c r="Y21" s="81">
        <f t="shared" si="21"/>
        <v>0</v>
      </c>
      <c r="Z21" s="60">
        <f t="shared" si="22"/>
        <v>2278.3333333333335</v>
      </c>
      <c r="AA21" s="61">
        <f t="shared" si="23"/>
        <v>0</v>
      </c>
    </row>
    <row r="22" spans="1:27" ht="20.100000000000001" customHeight="1" x14ac:dyDescent="0.3">
      <c r="A22" s="57">
        <v>13</v>
      </c>
      <c r="B22" s="58" t="str">
        <f>Zetelverdeling!B29</f>
        <v>Krachtig Flevoland</v>
      </c>
      <c r="C22" s="59">
        <f>IF(AND(Zetelverdeling!C29&gt;0,ISNUMBER(Zetelverdeling!C29)),Zetelverdeling!C29,0)</f>
        <v>2879</v>
      </c>
      <c r="D22" s="59">
        <f t="shared" si="0"/>
        <v>0</v>
      </c>
      <c r="E22" s="59">
        <f t="shared" si="1"/>
        <v>0</v>
      </c>
      <c r="F22" s="59" t="str">
        <f t="shared" si="2"/>
        <v/>
      </c>
      <c r="G22" s="59">
        <f t="shared" si="3"/>
        <v>0</v>
      </c>
      <c r="H22" s="81">
        <f t="shared" si="4"/>
        <v>2879</v>
      </c>
      <c r="I22" s="81">
        <f t="shared" si="5"/>
        <v>0</v>
      </c>
      <c r="J22" s="60">
        <f t="shared" si="6"/>
        <v>2879</v>
      </c>
      <c r="K22" s="60">
        <f t="shared" si="7"/>
        <v>0</v>
      </c>
      <c r="L22" s="81">
        <f t="shared" si="8"/>
        <v>2879</v>
      </c>
      <c r="M22" s="81">
        <f t="shared" si="9"/>
        <v>0</v>
      </c>
      <c r="N22" s="60">
        <f t="shared" si="10"/>
        <v>2879</v>
      </c>
      <c r="O22" s="60">
        <f t="shared" si="11"/>
        <v>0</v>
      </c>
      <c r="P22" s="81">
        <f t="shared" si="12"/>
        <v>2879</v>
      </c>
      <c r="Q22" s="81">
        <f t="shared" si="13"/>
        <v>0</v>
      </c>
      <c r="R22" s="60">
        <f t="shared" si="14"/>
        <v>2879</v>
      </c>
      <c r="S22" s="60">
        <f t="shared" si="15"/>
        <v>0</v>
      </c>
      <c r="T22" s="81">
        <f t="shared" si="16"/>
        <v>2879</v>
      </c>
      <c r="U22" s="81">
        <f t="shared" si="17"/>
        <v>0</v>
      </c>
      <c r="V22" s="60">
        <f t="shared" si="18"/>
        <v>2879</v>
      </c>
      <c r="W22" s="60">
        <f t="shared" si="19"/>
        <v>0</v>
      </c>
      <c r="X22" s="81">
        <f t="shared" si="20"/>
        <v>2879</v>
      </c>
      <c r="Y22" s="81">
        <f t="shared" si="21"/>
        <v>0</v>
      </c>
      <c r="Z22" s="60">
        <f t="shared" si="22"/>
        <v>2879</v>
      </c>
      <c r="AA22" s="61">
        <f t="shared" si="23"/>
        <v>0</v>
      </c>
    </row>
    <row r="23" spans="1:27" ht="20.100000000000001" customHeight="1" x14ac:dyDescent="0.3">
      <c r="A23" s="57">
        <v>14</v>
      </c>
      <c r="B23" s="58" t="str">
        <f>Zetelverdeling!B30</f>
        <v>SterkLokaalFlevoland</v>
      </c>
      <c r="C23" s="59">
        <f>IF(AND(Zetelverdeling!C30&gt;0,ISNUMBER(Zetelverdeling!C30)),Zetelverdeling!C30,0)</f>
        <v>4518</v>
      </c>
      <c r="D23" s="59">
        <f t="shared" si="0"/>
        <v>1</v>
      </c>
      <c r="E23" s="59">
        <f t="shared" si="1"/>
        <v>0</v>
      </c>
      <c r="F23" s="59" t="str">
        <f t="shared" si="2"/>
        <v/>
      </c>
      <c r="G23" s="59">
        <f t="shared" si="3"/>
        <v>1</v>
      </c>
      <c r="H23" s="81">
        <f t="shared" si="4"/>
        <v>2259</v>
      </c>
      <c r="I23" s="81">
        <f t="shared" si="5"/>
        <v>0</v>
      </c>
      <c r="J23" s="60">
        <f t="shared" si="6"/>
        <v>2259</v>
      </c>
      <c r="K23" s="60">
        <f t="shared" si="7"/>
        <v>0</v>
      </c>
      <c r="L23" s="81">
        <f t="shared" si="8"/>
        <v>2259</v>
      </c>
      <c r="M23" s="81">
        <f t="shared" si="9"/>
        <v>0</v>
      </c>
      <c r="N23" s="60">
        <f t="shared" si="10"/>
        <v>2259</v>
      </c>
      <c r="O23" s="60">
        <f t="shared" si="11"/>
        <v>0</v>
      </c>
      <c r="P23" s="81">
        <f t="shared" si="12"/>
        <v>2259</v>
      </c>
      <c r="Q23" s="81">
        <f t="shared" si="13"/>
        <v>0</v>
      </c>
      <c r="R23" s="60">
        <f t="shared" si="14"/>
        <v>2259</v>
      </c>
      <c r="S23" s="60">
        <f t="shared" si="15"/>
        <v>0</v>
      </c>
      <c r="T23" s="81">
        <f t="shared" si="16"/>
        <v>2259</v>
      </c>
      <c r="U23" s="81">
        <f t="shared" si="17"/>
        <v>0</v>
      </c>
      <c r="V23" s="60">
        <f t="shared" si="18"/>
        <v>2259</v>
      </c>
      <c r="W23" s="60">
        <f t="shared" si="19"/>
        <v>0</v>
      </c>
      <c r="X23" s="81">
        <f t="shared" si="20"/>
        <v>2259</v>
      </c>
      <c r="Y23" s="81">
        <f t="shared" si="21"/>
        <v>0</v>
      </c>
      <c r="Z23" s="60">
        <f t="shared" si="22"/>
        <v>2259</v>
      </c>
      <c r="AA23" s="61">
        <f t="shared" si="23"/>
        <v>0</v>
      </c>
    </row>
    <row r="24" spans="1:27" ht="20.100000000000001" customHeight="1" x14ac:dyDescent="0.3">
      <c r="A24" s="57">
        <v>15</v>
      </c>
      <c r="B24" s="58" t="str">
        <f>Zetelverdeling!B31</f>
        <v>JA21</v>
      </c>
      <c r="C24" s="59">
        <f>IF(AND(Zetelverdeling!C31&gt;0,ISNUMBER(Zetelverdeling!C31)),Zetelverdeling!C31,0)</f>
        <v>7571</v>
      </c>
      <c r="D24" s="59">
        <f t="shared" si="0"/>
        <v>1</v>
      </c>
      <c r="E24" s="59">
        <f t="shared" si="1"/>
        <v>1</v>
      </c>
      <c r="F24" s="59" t="str">
        <f t="shared" si="2"/>
        <v/>
      </c>
      <c r="G24" s="59">
        <f t="shared" si="3"/>
        <v>2</v>
      </c>
      <c r="H24" s="81">
        <f t="shared" si="4"/>
        <v>3785.5</v>
      </c>
      <c r="I24" s="81">
        <f t="shared" si="5"/>
        <v>1</v>
      </c>
      <c r="J24" s="60">
        <f t="shared" si="6"/>
        <v>2523.6666666666665</v>
      </c>
      <c r="K24" s="60">
        <f t="shared" si="7"/>
        <v>0</v>
      </c>
      <c r="L24" s="81">
        <f t="shared" si="8"/>
        <v>2523.6666666666665</v>
      </c>
      <c r="M24" s="81">
        <f t="shared" si="9"/>
        <v>0</v>
      </c>
      <c r="N24" s="60">
        <f t="shared" si="10"/>
        <v>2523.6666666666665</v>
      </c>
      <c r="O24" s="60">
        <f t="shared" si="11"/>
        <v>0</v>
      </c>
      <c r="P24" s="81">
        <f t="shared" si="12"/>
        <v>2523.6666666666665</v>
      </c>
      <c r="Q24" s="81">
        <f t="shared" si="13"/>
        <v>0</v>
      </c>
      <c r="R24" s="60">
        <f t="shared" si="14"/>
        <v>2523.6666666666665</v>
      </c>
      <c r="S24" s="60">
        <f t="shared" si="15"/>
        <v>0</v>
      </c>
      <c r="T24" s="81">
        <f t="shared" si="16"/>
        <v>2523.6666666666665</v>
      </c>
      <c r="U24" s="81">
        <f t="shared" si="17"/>
        <v>0</v>
      </c>
      <c r="V24" s="60">
        <f t="shared" si="18"/>
        <v>2523.6666666666665</v>
      </c>
      <c r="W24" s="60">
        <f t="shared" si="19"/>
        <v>0</v>
      </c>
      <c r="X24" s="81">
        <f t="shared" si="20"/>
        <v>2523.6666666666665</v>
      </c>
      <c r="Y24" s="81">
        <f t="shared" si="21"/>
        <v>0</v>
      </c>
      <c r="Z24" s="60">
        <f t="shared" si="22"/>
        <v>2523.6666666666665</v>
      </c>
      <c r="AA24" s="61">
        <f t="shared" si="23"/>
        <v>0</v>
      </c>
    </row>
    <row r="25" spans="1:27" ht="20.100000000000001" customHeight="1" x14ac:dyDescent="0.3">
      <c r="A25" s="57">
        <v>16</v>
      </c>
      <c r="B25" s="58" t="str">
        <f>Zetelverdeling!B32</f>
        <v>Belang van Nederland (BVNL)</v>
      </c>
      <c r="C25" s="59">
        <f>IF(AND(Zetelverdeling!C32&gt;0,ISNUMBER(Zetelverdeling!C32)),Zetelverdeling!C32,0)</f>
        <v>2104</v>
      </c>
      <c r="D25" s="59">
        <f t="shared" si="0"/>
        <v>0</v>
      </c>
      <c r="E25" s="59">
        <f t="shared" si="1"/>
        <v>0</v>
      </c>
      <c r="F25" s="59" t="str">
        <f t="shared" si="2"/>
        <v/>
      </c>
      <c r="G25" s="59">
        <f t="shared" si="3"/>
        <v>0</v>
      </c>
      <c r="H25" s="81">
        <f t="shared" si="4"/>
        <v>2104</v>
      </c>
      <c r="I25" s="81">
        <f t="shared" si="5"/>
        <v>0</v>
      </c>
      <c r="J25" s="60">
        <f t="shared" si="6"/>
        <v>2104</v>
      </c>
      <c r="K25" s="60">
        <f t="shared" si="7"/>
        <v>0</v>
      </c>
      <c r="L25" s="81">
        <f t="shared" si="8"/>
        <v>2104</v>
      </c>
      <c r="M25" s="81">
        <f t="shared" si="9"/>
        <v>0</v>
      </c>
      <c r="N25" s="60">
        <f t="shared" si="10"/>
        <v>2104</v>
      </c>
      <c r="O25" s="60">
        <f t="shared" si="11"/>
        <v>0</v>
      </c>
      <c r="P25" s="81">
        <f t="shared" si="12"/>
        <v>2104</v>
      </c>
      <c r="Q25" s="81">
        <f t="shared" si="13"/>
        <v>0</v>
      </c>
      <c r="R25" s="60">
        <f t="shared" si="14"/>
        <v>2104</v>
      </c>
      <c r="S25" s="60">
        <f t="shared" si="15"/>
        <v>0</v>
      </c>
      <c r="T25" s="81">
        <f t="shared" si="16"/>
        <v>2104</v>
      </c>
      <c r="U25" s="81">
        <f t="shared" si="17"/>
        <v>0</v>
      </c>
      <c r="V25" s="60">
        <f t="shared" si="18"/>
        <v>2104</v>
      </c>
      <c r="W25" s="60">
        <f t="shared" si="19"/>
        <v>0</v>
      </c>
      <c r="X25" s="81">
        <f t="shared" si="20"/>
        <v>2104</v>
      </c>
      <c r="Y25" s="81">
        <f t="shared" si="21"/>
        <v>0</v>
      </c>
      <c r="Z25" s="60">
        <f t="shared" si="22"/>
        <v>2104</v>
      </c>
      <c r="AA25" s="61">
        <f t="shared" si="23"/>
        <v>0</v>
      </c>
    </row>
    <row r="26" spans="1:27" ht="20.100000000000001" customHeight="1" x14ac:dyDescent="0.3">
      <c r="A26" s="57">
        <v>17</v>
      </c>
      <c r="B26" s="58" t="str">
        <f>Zetelverdeling!B33</f>
        <v>BBB</v>
      </c>
      <c r="C26" s="59">
        <f>IF(AND(Zetelverdeling!C33&gt;0,ISNUMBER(Zetelverdeling!C33)),Zetelverdeling!C33,0)</f>
        <v>33987</v>
      </c>
      <c r="D26" s="59">
        <f t="shared" si="0"/>
        <v>8</v>
      </c>
      <c r="E26" s="59">
        <f t="shared" si="1"/>
        <v>2</v>
      </c>
      <c r="F26" s="59" t="str">
        <f t="shared" si="2"/>
        <v/>
      </c>
      <c r="G26" s="59">
        <f t="shared" si="3"/>
        <v>10</v>
      </c>
      <c r="H26" s="81">
        <f t="shared" si="4"/>
        <v>3776.3333333333335</v>
      </c>
      <c r="I26" s="81">
        <f t="shared" si="5"/>
        <v>0</v>
      </c>
      <c r="J26" s="60">
        <f t="shared" si="6"/>
        <v>3776.3333333333335</v>
      </c>
      <c r="K26" s="60">
        <f t="shared" si="7"/>
        <v>1</v>
      </c>
      <c r="L26" s="81">
        <f t="shared" si="8"/>
        <v>3398.7</v>
      </c>
      <c r="M26" s="81">
        <f t="shared" si="9"/>
        <v>0</v>
      </c>
      <c r="N26" s="60">
        <f t="shared" si="10"/>
        <v>3398.7</v>
      </c>
      <c r="O26" s="60">
        <f t="shared" si="11"/>
        <v>0</v>
      </c>
      <c r="P26" s="81">
        <f t="shared" si="12"/>
        <v>3398.7</v>
      </c>
      <c r="Q26" s="81">
        <f t="shared" si="13"/>
        <v>0</v>
      </c>
      <c r="R26" s="60">
        <f t="shared" si="14"/>
        <v>3398.7</v>
      </c>
      <c r="S26" s="60">
        <f t="shared" si="15"/>
        <v>0</v>
      </c>
      <c r="T26" s="81">
        <f t="shared" si="16"/>
        <v>3398.7</v>
      </c>
      <c r="U26" s="81">
        <f t="shared" si="17"/>
        <v>0</v>
      </c>
      <c r="V26" s="60">
        <f t="shared" si="18"/>
        <v>3398.7</v>
      </c>
      <c r="W26" s="60">
        <f t="shared" si="19"/>
        <v>1</v>
      </c>
      <c r="X26" s="81">
        <f t="shared" si="20"/>
        <v>3089.7272727272725</v>
      </c>
      <c r="Y26" s="81">
        <f t="shared" si="21"/>
        <v>0</v>
      </c>
      <c r="Z26" s="60">
        <f t="shared" si="22"/>
        <v>3089.7272727272725</v>
      </c>
      <c r="AA26" s="61">
        <f t="shared" si="23"/>
        <v>0</v>
      </c>
    </row>
    <row r="27" spans="1:27" ht="20.100000000000001" customHeight="1" x14ac:dyDescent="0.3">
      <c r="A27" s="57">
        <v>18</v>
      </c>
      <c r="B27" s="58">
        <f>Zetelverdeling!B34</f>
        <v>0</v>
      </c>
      <c r="C27" s="59">
        <f>IF(AND(Zetelverdeling!C34&gt;0,ISNUMBER(Zetelverdeling!C34)),Zetelverdeling!C34,0)</f>
        <v>0</v>
      </c>
      <c r="D27" s="59">
        <f t="shared" si="0"/>
        <v>0</v>
      </c>
      <c r="E27" s="59">
        <f t="shared" si="1"/>
        <v>0</v>
      </c>
      <c r="F27" s="59" t="str">
        <f t="shared" si="2"/>
        <v/>
      </c>
      <c r="G27" s="59">
        <f t="shared" si="3"/>
        <v>0</v>
      </c>
      <c r="H27" s="81">
        <f t="shared" si="4"/>
        <v>0</v>
      </c>
      <c r="I27" s="81">
        <f t="shared" si="5"/>
        <v>0</v>
      </c>
      <c r="J27" s="60">
        <f t="shared" si="6"/>
        <v>0</v>
      </c>
      <c r="K27" s="60">
        <f t="shared" si="7"/>
        <v>0</v>
      </c>
      <c r="L27" s="81">
        <f t="shared" si="8"/>
        <v>0</v>
      </c>
      <c r="M27" s="81">
        <f t="shared" si="9"/>
        <v>0</v>
      </c>
      <c r="N27" s="60">
        <f t="shared" si="10"/>
        <v>0</v>
      </c>
      <c r="O27" s="60">
        <f t="shared" si="11"/>
        <v>0</v>
      </c>
      <c r="P27" s="81">
        <f t="shared" si="12"/>
        <v>0</v>
      </c>
      <c r="Q27" s="81">
        <f t="shared" si="13"/>
        <v>0</v>
      </c>
      <c r="R27" s="60">
        <f t="shared" si="14"/>
        <v>0</v>
      </c>
      <c r="S27" s="60">
        <f t="shared" si="15"/>
        <v>0</v>
      </c>
      <c r="T27" s="81">
        <f t="shared" si="16"/>
        <v>0</v>
      </c>
      <c r="U27" s="81">
        <f t="shared" si="17"/>
        <v>0</v>
      </c>
      <c r="V27" s="60">
        <f t="shared" si="18"/>
        <v>0</v>
      </c>
      <c r="W27" s="60">
        <f t="shared" si="19"/>
        <v>0</v>
      </c>
      <c r="X27" s="81">
        <f t="shared" si="20"/>
        <v>0</v>
      </c>
      <c r="Y27" s="81">
        <f t="shared" si="21"/>
        <v>0</v>
      </c>
      <c r="Z27" s="60">
        <f t="shared" si="22"/>
        <v>0</v>
      </c>
      <c r="AA27" s="61">
        <f t="shared" si="23"/>
        <v>0</v>
      </c>
    </row>
    <row r="28" spans="1:27" ht="20.100000000000001" customHeight="1" x14ac:dyDescent="0.3">
      <c r="A28" s="57">
        <v>19</v>
      </c>
      <c r="B28" s="58">
        <f>Zetelverdeling!B35</f>
        <v>0</v>
      </c>
      <c r="C28" s="59">
        <f>IF(AND(Zetelverdeling!C35&gt;0,ISNUMBER(Zetelverdeling!C35)),Zetelverdeling!C35,0)</f>
        <v>0</v>
      </c>
      <c r="D28" s="59">
        <f t="shared" si="0"/>
        <v>0</v>
      </c>
      <c r="E28" s="59">
        <f t="shared" si="1"/>
        <v>0</v>
      </c>
      <c r="F28" s="59" t="str">
        <f t="shared" si="2"/>
        <v/>
      </c>
      <c r="G28" s="59">
        <f t="shared" si="3"/>
        <v>0</v>
      </c>
      <c r="H28" s="81">
        <f t="shared" si="4"/>
        <v>0</v>
      </c>
      <c r="I28" s="81">
        <f t="shared" si="5"/>
        <v>0</v>
      </c>
      <c r="J28" s="60">
        <f t="shared" si="6"/>
        <v>0</v>
      </c>
      <c r="K28" s="60">
        <f t="shared" si="7"/>
        <v>0</v>
      </c>
      <c r="L28" s="81">
        <f t="shared" si="8"/>
        <v>0</v>
      </c>
      <c r="M28" s="81">
        <f t="shared" si="9"/>
        <v>0</v>
      </c>
      <c r="N28" s="60">
        <f t="shared" si="10"/>
        <v>0</v>
      </c>
      <c r="O28" s="60">
        <f t="shared" si="11"/>
        <v>0</v>
      </c>
      <c r="P28" s="81">
        <f t="shared" si="12"/>
        <v>0</v>
      </c>
      <c r="Q28" s="81">
        <f t="shared" si="13"/>
        <v>0</v>
      </c>
      <c r="R28" s="60">
        <f t="shared" si="14"/>
        <v>0</v>
      </c>
      <c r="S28" s="60">
        <f t="shared" si="15"/>
        <v>0</v>
      </c>
      <c r="T28" s="81">
        <f t="shared" si="16"/>
        <v>0</v>
      </c>
      <c r="U28" s="81">
        <f t="shared" si="17"/>
        <v>0</v>
      </c>
      <c r="V28" s="60">
        <f t="shared" si="18"/>
        <v>0</v>
      </c>
      <c r="W28" s="60">
        <f t="shared" si="19"/>
        <v>0</v>
      </c>
      <c r="X28" s="81">
        <f t="shared" si="20"/>
        <v>0</v>
      </c>
      <c r="Y28" s="81">
        <f t="shared" si="21"/>
        <v>0</v>
      </c>
      <c r="Z28" s="60">
        <f t="shared" si="22"/>
        <v>0</v>
      </c>
      <c r="AA28" s="61">
        <f t="shared" si="23"/>
        <v>0</v>
      </c>
    </row>
    <row r="29" spans="1:27" ht="20.100000000000001" customHeight="1" x14ac:dyDescent="0.3">
      <c r="A29" s="57">
        <v>20</v>
      </c>
      <c r="B29" s="58">
        <f>Zetelverdeling!B36</f>
        <v>0</v>
      </c>
      <c r="C29" s="59">
        <f>IF(AND(Zetelverdeling!C36&gt;0,ISNUMBER(Zetelverdeling!C36)),Zetelverdeling!C36,0)</f>
        <v>0</v>
      </c>
      <c r="D29" s="59">
        <f t="shared" si="0"/>
        <v>0</v>
      </c>
      <c r="E29" s="59">
        <f t="shared" si="1"/>
        <v>0</v>
      </c>
      <c r="F29" s="59" t="str">
        <f t="shared" si="2"/>
        <v/>
      </c>
      <c r="G29" s="59">
        <f t="shared" si="3"/>
        <v>0</v>
      </c>
      <c r="H29" s="81">
        <f t="shared" si="4"/>
        <v>0</v>
      </c>
      <c r="I29" s="81">
        <f t="shared" si="5"/>
        <v>0</v>
      </c>
      <c r="J29" s="60">
        <f t="shared" si="6"/>
        <v>0</v>
      </c>
      <c r="K29" s="60">
        <f t="shared" si="7"/>
        <v>0</v>
      </c>
      <c r="L29" s="81">
        <f t="shared" si="8"/>
        <v>0</v>
      </c>
      <c r="M29" s="81">
        <f t="shared" si="9"/>
        <v>0</v>
      </c>
      <c r="N29" s="60">
        <f t="shared" si="10"/>
        <v>0</v>
      </c>
      <c r="O29" s="60">
        <f t="shared" si="11"/>
        <v>0</v>
      </c>
      <c r="P29" s="81">
        <f t="shared" si="12"/>
        <v>0</v>
      </c>
      <c r="Q29" s="81">
        <f t="shared" si="13"/>
        <v>0</v>
      </c>
      <c r="R29" s="60">
        <f t="shared" si="14"/>
        <v>0</v>
      </c>
      <c r="S29" s="60">
        <f t="shared" si="15"/>
        <v>0</v>
      </c>
      <c r="T29" s="81">
        <f t="shared" si="16"/>
        <v>0</v>
      </c>
      <c r="U29" s="81">
        <f t="shared" si="17"/>
        <v>0</v>
      </c>
      <c r="V29" s="60">
        <f t="shared" si="18"/>
        <v>0</v>
      </c>
      <c r="W29" s="60">
        <f t="shared" si="19"/>
        <v>0</v>
      </c>
      <c r="X29" s="81">
        <f t="shared" si="20"/>
        <v>0</v>
      </c>
      <c r="Y29" s="81">
        <f t="shared" si="21"/>
        <v>0</v>
      </c>
      <c r="Z29" s="60">
        <f t="shared" si="22"/>
        <v>0</v>
      </c>
      <c r="AA29" s="61">
        <f t="shared" si="23"/>
        <v>0</v>
      </c>
    </row>
    <row r="30" spans="1:27" ht="20.100000000000001" customHeight="1" x14ac:dyDescent="0.3">
      <c r="A30" s="57">
        <v>21</v>
      </c>
      <c r="B30" s="58">
        <f>Zetelverdeling!B37</f>
        <v>0</v>
      </c>
      <c r="C30" s="59">
        <f>IF(AND(Zetelverdeling!C37&gt;0,ISNUMBER(Zetelverdeling!C37)),Zetelverdeling!C37,0)</f>
        <v>0</v>
      </c>
      <c r="D30" s="59">
        <f t="shared" si="0"/>
        <v>0</v>
      </c>
      <c r="E30" s="59">
        <f t="shared" si="1"/>
        <v>0</v>
      </c>
      <c r="F30" s="59" t="str">
        <f t="shared" si="2"/>
        <v/>
      </c>
      <c r="G30" s="59">
        <f t="shared" si="3"/>
        <v>0</v>
      </c>
      <c r="H30" s="81">
        <f t="shared" si="4"/>
        <v>0</v>
      </c>
      <c r="I30" s="81">
        <f t="shared" si="5"/>
        <v>0</v>
      </c>
      <c r="J30" s="60">
        <f t="shared" si="6"/>
        <v>0</v>
      </c>
      <c r="K30" s="60">
        <f t="shared" si="7"/>
        <v>0</v>
      </c>
      <c r="L30" s="81">
        <f t="shared" si="8"/>
        <v>0</v>
      </c>
      <c r="M30" s="81">
        <f t="shared" si="9"/>
        <v>0</v>
      </c>
      <c r="N30" s="60">
        <f t="shared" si="10"/>
        <v>0</v>
      </c>
      <c r="O30" s="60">
        <f t="shared" si="11"/>
        <v>0</v>
      </c>
      <c r="P30" s="81">
        <f t="shared" si="12"/>
        <v>0</v>
      </c>
      <c r="Q30" s="81">
        <f t="shared" si="13"/>
        <v>0</v>
      </c>
      <c r="R30" s="60">
        <f t="shared" si="14"/>
        <v>0</v>
      </c>
      <c r="S30" s="60">
        <f t="shared" si="15"/>
        <v>0</v>
      </c>
      <c r="T30" s="81">
        <f t="shared" si="16"/>
        <v>0</v>
      </c>
      <c r="U30" s="81">
        <f t="shared" si="17"/>
        <v>0</v>
      </c>
      <c r="V30" s="60">
        <f t="shared" si="18"/>
        <v>0</v>
      </c>
      <c r="W30" s="60">
        <f t="shared" si="19"/>
        <v>0</v>
      </c>
      <c r="X30" s="81">
        <f t="shared" si="20"/>
        <v>0</v>
      </c>
      <c r="Y30" s="81">
        <f t="shared" si="21"/>
        <v>0</v>
      </c>
      <c r="Z30" s="60">
        <f t="shared" si="22"/>
        <v>0</v>
      </c>
      <c r="AA30" s="61">
        <f t="shared" si="23"/>
        <v>0</v>
      </c>
    </row>
    <row r="31" spans="1:27" ht="20.100000000000001" customHeight="1" x14ac:dyDescent="0.3">
      <c r="A31" s="57">
        <v>22</v>
      </c>
      <c r="B31" s="58">
        <f>Zetelverdeling!B38</f>
        <v>0</v>
      </c>
      <c r="C31" s="59">
        <f>IF(AND(Zetelverdeling!C38&gt;0,ISNUMBER(Zetelverdeling!C38)),Zetelverdeling!C38,0)</f>
        <v>0</v>
      </c>
      <c r="D31" s="59">
        <f t="shared" si="0"/>
        <v>0</v>
      </c>
      <c r="E31" s="59">
        <f t="shared" si="1"/>
        <v>0</v>
      </c>
      <c r="F31" s="59" t="str">
        <f t="shared" si="2"/>
        <v/>
      </c>
      <c r="G31" s="59">
        <f t="shared" si="3"/>
        <v>0</v>
      </c>
      <c r="H31" s="81">
        <f t="shared" si="4"/>
        <v>0</v>
      </c>
      <c r="I31" s="81">
        <f t="shared" si="5"/>
        <v>0</v>
      </c>
      <c r="J31" s="60">
        <f t="shared" si="6"/>
        <v>0</v>
      </c>
      <c r="K31" s="60">
        <f t="shared" si="7"/>
        <v>0</v>
      </c>
      <c r="L31" s="81">
        <f t="shared" si="8"/>
        <v>0</v>
      </c>
      <c r="M31" s="81">
        <f t="shared" si="9"/>
        <v>0</v>
      </c>
      <c r="N31" s="60">
        <f t="shared" si="10"/>
        <v>0</v>
      </c>
      <c r="O31" s="60">
        <f t="shared" si="11"/>
        <v>0</v>
      </c>
      <c r="P31" s="81">
        <f t="shared" si="12"/>
        <v>0</v>
      </c>
      <c r="Q31" s="81">
        <f t="shared" si="13"/>
        <v>0</v>
      </c>
      <c r="R31" s="60">
        <f t="shared" si="14"/>
        <v>0</v>
      </c>
      <c r="S31" s="60">
        <f t="shared" si="15"/>
        <v>0</v>
      </c>
      <c r="T31" s="81">
        <f t="shared" si="16"/>
        <v>0</v>
      </c>
      <c r="U31" s="81">
        <f t="shared" si="17"/>
        <v>0</v>
      </c>
      <c r="V31" s="60">
        <f t="shared" si="18"/>
        <v>0</v>
      </c>
      <c r="W31" s="60">
        <f t="shared" si="19"/>
        <v>0</v>
      </c>
      <c r="X31" s="81">
        <f t="shared" si="20"/>
        <v>0</v>
      </c>
      <c r="Y31" s="81">
        <f t="shared" si="21"/>
        <v>0</v>
      </c>
      <c r="Z31" s="60">
        <f t="shared" si="22"/>
        <v>0</v>
      </c>
      <c r="AA31" s="61">
        <f t="shared" si="23"/>
        <v>0</v>
      </c>
    </row>
    <row r="32" spans="1:27" ht="20.100000000000001" customHeight="1" x14ac:dyDescent="0.3">
      <c r="A32" s="57">
        <v>23</v>
      </c>
      <c r="B32" s="58">
        <f>Zetelverdeling!B39</f>
        <v>0</v>
      </c>
      <c r="C32" s="59">
        <f>IF(AND(Zetelverdeling!C39&gt;0,ISNUMBER(Zetelverdeling!C39)),Zetelverdeling!C39,0)</f>
        <v>0</v>
      </c>
      <c r="D32" s="59">
        <f t="shared" si="0"/>
        <v>0</v>
      </c>
      <c r="E32" s="59">
        <f t="shared" si="1"/>
        <v>0</v>
      </c>
      <c r="F32" s="59" t="str">
        <f t="shared" si="2"/>
        <v/>
      </c>
      <c r="G32" s="59">
        <f t="shared" si="3"/>
        <v>0</v>
      </c>
      <c r="H32" s="81">
        <f t="shared" si="4"/>
        <v>0</v>
      </c>
      <c r="I32" s="81">
        <f t="shared" si="5"/>
        <v>0</v>
      </c>
      <c r="J32" s="60">
        <f t="shared" si="6"/>
        <v>0</v>
      </c>
      <c r="K32" s="60">
        <f t="shared" si="7"/>
        <v>0</v>
      </c>
      <c r="L32" s="81">
        <f t="shared" si="8"/>
        <v>0</v>
      </c>
      <c r="M32" s="81">
        <f t="shared" si="9"/>
        <v>0</v>
      </c>
      <c r="N32" s="60">
        <f t="shared" si="10"/>
        <v>0</v>
      </c>
      <c r="O32" s="60">
        <f t="shared" si="11"/>
        <v>0</v>
      </c>
      <c r="P32" s="81">
        <f t="shared" si="12"/>
        <v>0</v>
      </c>
      <c r="Q32" s="81">
        <f t="shared" si="13"/>
        <v>0</v>
      </c>
      <c r="R32" s="60">
        <f t="shared" si="14"/>
        <v>0</v>
      </c>
      <c r="S32" s="60">
        <f t="shared" si="15"/>
        <v>0</v>
      </c>
      <c r="T32" s="81">
        <f t="shared" si="16"/>
        <v>0</v>
      </c>
      <c r="U32" s="81">
        <f t="shared" si="17"/>
        <v>0</v>
      </c>
      <c r="V32" s="60">
        <f t="shared" si="18"/>
        <v>0</v>
      </c>
      <c r="W32" s="60">
        <f t="shared" si="19"/>
        <v>0</v>
      </c>
      <c r="X32" s="81">
        <f t="shared" si="20"/>
        <v>0</v>
      </c>
      <c r="Y32" s="81">
        <f t="shared" si="21"/>
        <v>0</v>
      </c>
      <c r="Z32" s="60">
        <f t="shared" si="22"/>
        <v>0</v>
      </c>
      <c r="AA32" s="61">
        <f t="shared" si="23"/>
        <v>0</v>
      </c>
    </row>
    <row r="33" spans="1:27" ht="20.100000000000001" customHeight="1" x14ac:dyDescent="0.3">
      <c r="A33" s="57">
        <v>24</v>
      </c>
      <c r="B33" s="58">
        <f>Zetelverdeling!B40</f>
        <v>0</v>
      </c>
      <c r="C33" s="59">
        <f>IF(AND(Zetelverdeling!C40&gt;0,ISNUMBER(Zetelverdeling!C40)),Zetelverdeling!C40,0)</f>
        <v>0</v>
      </c>
      <c r="D33" s="59">
        <f t="shared" si="0"/>
        <v>0</v>
      </c>
      <c r="E33" s="59">
        <f t="shared" si="1"/>
        <v>0</v>
      </c>
      <c r="F33" s="59" t="str">
        <f t="shared" si="2"/>
        <v/>
      </c>
      <c r="G33" s="59">
        <f t="shared" si="3"/>
        <v>0</v>
      </c>
      <c r="H33" s="81">
        <f t="shared" si="4"/>
        <v>0</v>
      </c>
      <c r="I33" s="81">
        <f t="shared" si="5"/>
        <v>0</v>
      </c>
      <c r="J33" s="60">
        <f t="shared" si="6"/>
        <v>0</v>
      </c>
      <c r="K33" s="60">
        <f t="shared" si="7"/>
        <v>0</v>
      </c>
      <c r="L33" s="81">
        <f t="shared" si="8"/>
        <v>0</v>
      </c>
      <c r="M33" s="81">
        <f t="shared" si="9"/>
        <v>0</v>
      </c>
      <c r="N33" s="60">
        <f t="shared" si="10"/>
        <v>0</v>
      </c>
      <c r="O33" s="60">
        <f t="shared" si="11"/>
        <v>0</v>
      </c>
      <c r="P33" s="81">
        <f t="shared" si="12"/>
        <v>0</v>
      </c>
      <c r="Q33" s="81">
        <f t="shared" si="13"/>
        <v>0</v>
      </c>
      <c r="R33" s="60">
        <f t="shared" si="14"/>
        <v>0</v>
      </c>
      <c r="S33" s="60">
        <f t="shared" si="15"/>
        <v>0</v>
      </c>
      <c r="T33" s="81">
        <f t="shared" si="16"/>
        <v>0</v>
      </c>
      <c r="U33" s="81">
        <f t="shared" si="17"/>
        <v>0</v>
      </c>
      <c r="V33" s="60">
        <f t="shared" si="18"/>
        <v>0</v>
      </c>
      <c r="W33" s="60">
        <f t="shared" si="19"/>
        <v>0</v>
      </c>
      <c r="X33" s="81">
        <f t="shared" si="20"/>
        <v>0</v>
      </c>
      <c r="Y33" s="81">
        <f t="shared" si="21"/>
        <v>0</v>
      </c>
      <c r="Z33" s="60">
        <f t="shared" si="22"/>
        <v>0</v>
      </c>
      <c r="AA33" s="61">
        <f t="shared" si="23"/>
        <v>0</v>
      </c>
    </row>
    <row r="34" spans="1:27" ht="20.100000000000001" customHeight="1" x14ac:dyDescent="0.3">
      <c r="A34" s="57">
        <v>25</v>
      </c>
      <c r="B34" s="58">
        <f>Zetelverdeling!B41</f>
        <v>0</v>
      </c>
      <c r="C34" s="59">
        <f>IF(AND(Zetelverdeling!C41&gt;0,ISNUMBER(Zetelverdeling!C41)),Zetelverdeling!C41,0)</f>
        <v>0</v>
      </c>
      <c r="D34" s="59">
        <f t="shared" si="0"/>
        <v>0</v>
      </c>
      <c r="E34" s="59">
        <f t="shared" si="1"/>
        <v>0</v>
      </c>
      <c r="F34" s="59" t="str">
        <f t="shared" si="2"/>
        <v/>
      </c>
      <c r="G34" s="59">
        <f t="shared" si="3"/>
        <v>0</v>
      </c>
      <c r="H34" s="81">
        <f t="shared" si="4"/>
        <v>0</v>
      </c>
      <c r="I34" s="81">
        <f t="shared" si="5"/>
        <v>0</v>
      </c>
      <c r="J34" s="60">
        <f t="shared" si="6"/>
        <v>0</v>
      </c>
      <c r="K34" s="60">
        <f t="shared" si="7"/>
        <v>0</v>
      </c>
      <c r="L34" s="81">
        <f t="shared" si="8"/>
        <v>0</v>
      </c>
      <c r="M34" s="81">
        <f t="shared" si="9"/>
        <v>0</v>
      </c>
      <c r="N34" s="60">
        <f t="shared" si="10"/>
        <v>0</v>
      </c>
      <c r="O34" s="60">
        <f t="shared" si="11"/>
        <v>0</v>
      </c>
      <c r="P34" s="81">
        <f t="shared" si="12"/>
        <v>0</v>
      </c>
      <c r="Q34" s="81">
        <f t="shared" si="13"/>
        <v>0</v>
      </c>
      <c r="R34" s="60">
        <f t="shared" si="14"/>
        <v>0</v>
      </c>
      <c r="S34" s="60">
        <f t="shared" si="15"/>
        <v>0</v>
      </c>
      <c r="T34" s="81">
        <f t="shared" si="16"/>
        <v>0</v>
      </c>
      <c r="U34" s="81">
        <f t="shared" si="17"/>
        <v>0</v>
      </c>
      <c r="V34" s="60">
        <f t="shared" si="18"/>
        <v>0</v>
      </c>
      <c r="W34" s="60">
        <f t="shared" si="19"/>
        <v>0</v>
      </c>
      <c r="X34" s="81">
        <f t="shared" si="20"/>
        <v>0</v>
      </c>
      <c r="Y34" s="81">
        <f t="shared" si="21"/>
        <v>0</v>
      </c>
      <c r="Z34" s="60">
        <f t="shared" si="22"/>
        <v>0</v>
      </c>
      <c r="AA34" s="61">
        <f t="shared" si="23"/>
        <v>0</v>
      </c>
    </row>
    <row r="35" spans="1:27" ht="20.100000000000001" customHeight="1" x14ac:dyDescent="0.3">
      <c r="A35" s="62">
        <v>26</v>
      </c>
      <c r="B35" s="63">
        <f>Zetelverdeling!B42</f>
        <v>0</v>
      </c>
      <c r="C35" s="64">
        <f>IF(AND(Zetelverdeling!C42&gt;0,ISNUMBER(Zetelverdeling!C42)),Zetelverdeling!C42,0)</f>
        <v>0</v>
      </c>
      <c r="D35" s="64">
        <f t="shared" si="0"/>
        <v>0</v>
      </c>
      <c r="E35" s="64">
        <f t="shared" si="1"/>
        <v>0</v>
      </c>
      <c r="F35" s="64" t="str">
        <f t="shared" si="2"/>
        <v/>
      </c>
      <c r="G35" s="64">
        <f t="shared" si="3"/>
        <v>0</v>
      </c>
      <c r="H35" s="82">
        <f t="shared" si="4"/>
        <v>0</v>
      </c>
      <c r="I35" s="82">
        <f t="shared" si="5"/>
        <v>0</v>
      </c>
      <c r="J35" s="65">
        <f t="shared" si="6"/>
        <v>0</v>
      </c>
      <c r="K35" s="65">
        <f t="shared" si="7"/>
        <v>0</v>
      </c>
      <c r="L35" s="82">
        <f t="shared" si="8"/>
        <v>0</v>
      </c>
      <c r="M35" s="82">
        <f t="shared" si="9"/>
        <v>0</v>
      </c>
      <c r="N35" s="65">
        <f t="shared" si="10"/>
        <v>0</v>
      </c>
      <c r="O35" s="65">
        <f t="shared" si="11"/>
        <v>0</v>
      </c>
      <c r="P35" s="82">
        <f t="shared" si="12"/>
        <v>0</v>
      </c>
      <c r="Q35" s="82">
        <f t="shared" si="13"/>
        <v>0</v>
      </c>
      <c r="R35" s="65">
        <f t="shared" si="14"/>
        <v>0</v>
      </c>
      <c r="S35" s="65">
        <f t="shared" si="15"/>
        <v>0</v>
      </c>
      <c r="T35" s="82">
        <f t="shared" si="16"/>
        <v>0</v>
      </c>
      <c r="U35" s="82">
        <f t="shared" si="17"/>
        <v>0</v>
      </c>
      <c r="V35" s="65">
        <f t="shared" si="18"/>
        <v>0</v>
      </c>
      <c r="W35" s="65">
        <f t="shared" si="19"/>
        <v>0</v>
      </c>
      <c r="X35" s="82">
        <f t="shared" si="20"/>
        <v>0</v>
      </c>
      <c r="Y35" s="82">
        <f t="shared" si="21"/>
        <v>0</v>
      </c>
      <c r="Z35" s="65">
        <f t="shared" si="22"/>
        <v>0</v>
      </c>
      <c r="AA35" s="66">
        <f t="shared" si="23"/>
        <v>0</v>
      </c>
    </row>
    <row r="36" spans="1:27" x14ac:dyDescent="0.3">
      <c r="H36" s="83"/>
      <c r="I36" s="83"/>
      <c r="L36" s="83"/>
      <c r="M36" s="83"/>
      <c r="P36" s="83"/>
      <c r="Q36" s="83"/>
      <c r="T36" s="83"/>
      <c r="U36" s="83"/>
      <c r="X36" s="83"/>
      <c r="Y36" s="83"/>
    </row>
    <row r="37" spans="1:27" x14ac:dyDescent="0.3">
      <c r="D37" s="67">
        <f>SUM(D10:D35)</f>
        <v>33</v>
      </c>
      <c r="E37" s="67">
        <f>SUM(E10:E35)</f>
        <v>8</v>
      </c>
      <c r="F37" s="67"/>
      <c r="G37" s="67">
        <f>SUM(G10:G35)</f>
        <v>41</v>
      </c>
      <c r="H37" s="84">
        <f>IF($J$6 &gt; 0,MAX(H10:H35),-1)</f>
        <v>3785.5</v>
      </c>
      <c r="I37" s="85" t="str">
        <f>IF(SUM(I10:I35)&gt;1,"LOTEN!!","")</f>
        <v/>
      </c>
      <c r="J37" s="69">
        <f>IF($J$6 &gt; 1,MAX(J10:J35),-1)</f>
        <v>3776.3333333333335</v>
      </c>
      <c r="K37" s="68" t="str">
        <f>IF(SUM(K10:K35)&gt;1,"LOTEN!!","")</f>
        <v/>
      </c>
      <c r="L37" s="84">
        <f>IF($J$6 &gt; 2,MAX(L10:L35),-1)</f>
        <v>3746.3333333333335</v>
      </c>
      <c r="M37" s="85" t="str">
        <f>IF(SUM(M10:M35)&gt;1,"LOTEN!!","")</f>
        <v/>
      </c>
      <c r="N37" s="69">
        <f>IF($J$6 &gt; 3,MAX(N10:N35),-1)</f>
        <v>3711.5</v>
      </c>
      <c r="O37" s="68" t="str">
        <f>IF(SUM(O10:O35)&gt;1,"LOTEN!!","")</f>
        <v/>
      </c>
      <c r="P37" s="84">
        <f>IF($J$6 &gt; 4,MAX(P10:P35),-1)</f>
        <v>3671.5</v>
      </c>
      <c r="Q37" s="85" t="str">
        <f>IF(SUM(Q10:Q35)&gt;1,"LOTEN!!","")</f>
        <v/>
      </c>
      <c r="R37" s="69">
        <f>IF($J$6 &gt; 5,MAX(R10:R35),-1)</f>
        <v>3457.5</v>
      </c>
      <c r="S37" s="68" t="str">
        <f>IF(SUM(S10:S35)&gt;1,"LOTEN!!","")</f>
        <v/>
      </c>
      <c r="T37" s="84">
        <f>IF($J$6 &gt; 6,MAX(T10:T35),-1)</f>
        <v>3417.5</v>
      </c>
      <c r="U37" s="85" t="str">
        <f>IF(SUM(U10:U35)&gt;1,"LOTEN!!","")</f>
        <v/>
      </c>
      <c r="V37" s="69">
        <f>IF($J$6 &gt; 7,MAX(V10:V35),-1)</f>
        <v>3398.7</v>
      </c>
      <c r="W37" s="68" t="str">
        <f>IF(SUM(W10:W35)&gt;1,"LOTEN!!","")</f>
        <v/>
      </c>
      <c r="X37" s="84">
        <f>IF($J$6 &gt; 8,MAX(X10:X35),-1)</f>
        <v>-1</v>
      </c>
      <c r="Y37" s="85" t="str">
        <f>IF(SUM(Y10:Y35)&gt;1,"LOTEN!!","")</f>
        <v/>
      </c>
      <c r="Z37" s="69">
        <f>IF($J$6 &gt; 9,MAX(Z10:Z35),-1)</f>
        <v>-1</v>
      </c>
      <c r="AA37" s="68" t="str">
        <f>IF(SUM(AA10:AA35)&gt;1,"LOTEN!!","")</f>
        <v/>
      </c>
    </row>
  </sheetData>
  <sheetProtection sheet="1" objects="1" scenarios="1"/>
  <mergeCells count="1">
    <mergeCell ref="K5:L5"/>
  </mergeCells>
  <conditionalFormatting sqref="C10:C35">
    <cfRule type="cellIs" dxfId="2" priority="2" stopIfTrue="1" operator="lessThan">
      <formula>0</formula>
    </cfRule>
  </conditionalFormatting>
  <conditionalFormatting sqref="H10">
    <cfRule type="cellIs" dxfId="1" priority="3" stopIfTrue="1" operator="equal">
      <formula>$H$37</formula>
    </cfRule>
  </conditionalFormatting>
  <conditionalFormatting sqref="H10:H35 J10:J35 L10:L35 N10:N35 P10:P35 R10:R35 T10:T35 V10:V35 X10:X35 Z10:Z35">
    <cfRule type="cellIs" dxfId="0" priority="4" stopIfTrue="1" operator="equal">
      <formula>MAX(H$10:H$35)</formula>
    </cfRule>
  </conditionalFormatting>
  <pageMargins left="0.70000000000000007" right="0.70000000000000007" top="0.75000000000000011" bottom="0.75000000000000011" header="0.51180555555555507" footer="0.51180555555555507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Zetelverdeling</vt:lpstr>
      <vt:lpstr>Restzetelverdeling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2023-03-02T10:58:06Z</dcterms:created>
  <dcterms:modified xsi:type="dcterms:W3CDTF">2023-03-22T08:57:48Z</dcterms:modified>
</cp:coreProperties>
</file>